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hukuura\Desktop\"/>
    </mc:Choice>
  </mc:AlternateContent>
  <bookViews>
    <workbookView xWindow="0" yWindow="0" windowWidth="22215" windowHeight="7230"/>
  </bookViews>
  <sheets>
    <sheet name="基本 (1)" sheetId="1" r:id="rId1"/>
    <sheet name="日数 (1)" sheetId="2" r:id="rId2"/>
    <sheet name="クレーン (1)" sheetId="3" r:id="rId3"/>
    <sheet name="日数表 (1)" sheetId="4" r:id="rId4"/>
    <sheet name="工事費 (1)" sheetId="5" r:id="rId5"/>
    <sheet name="工程 (2)" sheetId="6" r:id="rId6"/>
  </sheets>
  <externalReferences>
    <externalReference r:id="rId7"/>
  </externalReferences>
  <definedNames>
    <definedName name="Cel一覧_ベント基礎工_数量" localSheetId="4">'工事費 (1)'!$H$7</definedName>
    <definedName name="Cel一覧_ベント基礎工_単価" localSheetId="4">'工事費 (1)'!$I$7</definedName>
    <definedName name="Cel一覧_ベント設備工_数量" localSheetId="4">'工事費 (1)'!$H$8</definedName>
    <definedName name="Cel一覧_ベント設備工_単価" localSheetId="4">'工事費 (1)'!$I$8</definedName>
    <definedName name="Cel一覧_沓据付工_数量" localSheetId="4">'工事費 (1)'!$H$15</definedName>
    <definedName name="Cel一覧_沓据付工_単価" localSheetId="4">'工事費 (1)'!$I$15</definedName>
    <definedName name="Cel一覧_継手部現場塗装工_数量" localSheetId="4">'工事費 (1)'!$H$19</definedName>
    <definedName name="Cel一覧_継手部現場塗装工_単価" localSheetId="4">'工事費 (1)'!$I$19</definedName>
    <definedName name="Cel一覧_桁架設工_数量" localSheetId="4">'工事費 (1)'!$H$11</definedName>
    <definedName name="Cel一覧_桁架設工_単価" localSheetId="4">'工事費 (1)'!$I$11</definedName>
    <definedName name="Cel一覧_現場継手部溶接工_数量" localSheetId="4">'工事費 (1)'!$H$13</definedName>
    <definedName name="Cel一覧_現場継手部溶接工_単価" localSheetId="4">'工事費 (1)'!$I$13</definedName>
    <definedName name="Cel一覧_高力ボルト本締工_数量" localSheetId="4">'工事費 (1)'!$H$16</definedName>
    <definedName name="Cel一覧_高力ボルト本締工_単価" localSheetId="4">'工事費 (1)'!$I$16</definedName>
    <definedName name="Cel一覧_重機分解組立運搬費_金額計" localSheetId="4">'工事費 (1)'!$N$167</definedName>
    <definedName name="Cel一覧_重機分解組立運搬費_数量" localSheetId="4">'工事費 (1)'!$H$12</definedName>
    <definedName name="Cel一覧_重機分解組立運搬費_単価" localSheetId="4">'工事費 (1)'!$I$12</definedName>
    <definedName name="Cel一覧_足場工_数量" localSheetId="4">'工事費 (1)'!$H$18</definedName>
    <definedName name="Cel一覧_足場工_単価" localSheetId="4">'工事費 (1)'!$I$18</definedName>
    <definedName name="Cel一覧_地組溶接架台設備工_数量" localSheetId="4">'工事費 (1)'!$H$10</definedName>
    <definedName name="Cel一覧_地組溶接架台設備工_単価" localSheetId="4">'工事費 (1)'!$I$10</definedName>
    <definedName name="Cel一覧_地組立工_数量" localSheetId="4">'工事費 (1)'!$H$9</definedName>
    <definedName name="Cel一覧_地組立工_単価" localSheetId="4">'工事費 (1)'!$I$9</definedName>
    <definedName name="Cel一覧_溶接用ケーシング設備工_数量" localSheetId="4">'工事費 (1)'!$H$14</definedName>
    <definedName name="Cel一覧_溶接用ケーシング設備工_単価" localSheetId="4">'工事費 (1)'!$I$14</definedName>
    <definedName name="Cel一覧_落橋防止装置工_数量" localSheetId="4">'工事費 (1)'!$H$17</definedName>
    <definedName name="Cel一覧_落橋防止装置工_単価" localSheetId="4">'工事費 (1)'!$I$17</definedName>
    <definedName name="Cel工事_ベント基礎工_金額計" localSheetId="4">'工事費 (1)'!$N$65</definedName>
    <definedName name="Cel工事_ベント基礎工_数量計" localSheetId="4">'工事費 (1)'!$K$65</definedName>
    <definedName name="Cel工事_ベント基礎工_単価" localSheetId="4">'工事費 (1)'!$L$65</definedName>
    <definedName name="Cel工事_ベント設備工_金額計" localSheetId="4">'工事費 (1)'!$N$109</definedName>
    <definedName name="Cel工事_ベント設備工_数量計" localSheetId="4">'工事費 (1)'!$K$109</definedName>
    <definedName name="Cel工事_ベント設備工_単価" localSheetId="4">'工事費 (1)'!$L$109</definedName>
    <definedName name="Cel工事_沓据付工_金額計" localSheetId="4">'工事費 (1)'!$N$220</definedName>
    <definedName name="Cel工事_沓据付工_数量計" localSheetId="4">'工事費 (1)'!$K$220</definedName>
    <definedName name="Cel工事_沓据付工_単価" localSheetId="4">'工事費 (1)'!$L$220</definedName>
    <definedName name="Cel工事_継手部現場塗装工_金額計" localSheetId="4">'工事費 (1)'!$N$295</definedName>
    <definedName name="Cel工事_継手部現場塗装工_数量_素地調整工" localSheetId="4">'工事費 (1)'!$K$286</definedName>
    <definedName name="Cel工事_継手部現場塗装工_数量計" localSheetId="4">'工事費 (1)'!$K$295</definedName>
    <definedName name="Cel工事_継手部現場塗装工_単価" localSheetId="4">'工事費 (1)'!$L$295</definedName>
    <definedName name="Cel工事_桁架設工_金額計" localSheetId="4">'工事費 (1)'!$N$151</definedName>
    <definedName name="Cel工事_桁架設工_数量計" localSheetId="4">'工事費 (1)'!$K$151</definedName>
    <definedName name="Cel工事_桁架設工_単価" localSheetId="4">'工事費 (1)'!$L$151</definedName>
    <definedName name="Cel工事_検査費_数量計" localSheetId="4">'工事費 (1)'!$K$333</definedName>
    <definedName name="Cel工事_現場継手部溶接工_金額計" localSheetId="4">'工事費 (1)'!$N$177</definedName>
    <definedName name="Cel工事_現場継手部溶接工_数量計" localSheetId="4">'工事費 (1)'!$K$177</definedName>
    <definedName name="Cel工事_現場継手部溶接工_単価" localSheetId="4">'工事費 (1)'!$L$177</definedName>
    <definedName name="Cel工事_高力ボルト本締工_金額計" localSheetId="4">'工事費 (1)'!$N$231</definedName>
    <definedName name="Cel工事_高力ボルト本締工_数量計" localSheetId="4">'工事費 (1)'!$K$231</definedName>
    <definedName name="Cel工事_高力ボルト本締工_単価" localSheetId="4">'工事費 (1)'!$L$231</definedName>
    <definedName name="Cel工事_足場工_金額_計" localSheetId="4">'工事費 (1)'!$N$265</definedName>
    <definedName name="Cel工事_足場工_数量_Ａ" localSheetId="4">'工事費 (1)'!$K$248</definedName>
    <definedName name="Cel工事_足場工_数量計" localSheetId="4">'工事費 (1)'!$J$265</definedName>
    <definedName name="Cel工事_足場工_単価" localSheetId="4">'工事費 (1)'!$L$265</definedName>
    <definedName name="Cel工事_地組溶接架台設備工_金額計" localSheetId="4">'工事費 (1)'!$N$136</definedName>
    <definedName name="Cel工事_地組溶接架台設備工_数量計" localSheetId="4">'工事費 (1)'!$K$136</definedName>
    <definedName name="Cel工事_地組溶接架台設備工_単価" localSheetId="4">'工事費 (1)'!$L$136</definedName>
    <definedName name="Cel工事_地組立工_金額計" localSheetId="4">'工事費 (1)'!$N$122</definedName>
    <definedName name="Cel工事_地組立工_数量計" localSheetId="4">'工事費 (1)'!$K$122</definedName>
    <definedName name="Cel工事_地組立工_単価" localSheetId="4">'工事費 (1)'!$L$122</definedName>
    <definedName name="Cel工事_溶接用ケーシング設備工_金額計" localSheetId="4">'工事費 (1)'!$N$206</definedName>
    <definedName name="Cel工事_溶接用ケーシング設備工_数量計" localSheetId="4">'工事費 (1)'!$K$206</definedName>
    <definedName name="Cel工事_溶接用ケーシング設備工_単価" localSheetId="4">'工事費 (1)'!$L$206</definedName>
    <definedName name="Cel工事_落橋防止装置工_金額計" localSheetId="4">'工事費 (1)'!$N$243</definedName>
    <definedName name="Cel工事_落橋防止装置工_数量計" localSheetId="4">'工事費 (1)'!$K$243</definedName>
    <definedName name="Cel工事_落橋防止装置工_単価" localSheetId="4">'工事費 (1)'!$L$243</definedName>
    <definedName name="GenbaYousetuKensahi_Goukei" localSheetId="4">'工事費 (1)'!$N$333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6" l="1"/>
  <c r="G33" i="6" s="1"/>
  <c r="G31" i="6"/>
  <c r="F31" i="6"/>
  <c r="F29" i="6"/>
  <c r="G29" i="6" s="1"/>
  <c r="F27" i="6"/>
  <c r="G27" i="6" s="1"/>
  <c r="I28" i="6" s="1"/>
  <c r="F25" i="6"/>
  <c r="G25" i="6" s="1"/>
  <c r="F23" i="6"/>
  <c r="G23" i="6" s="1"/>
  <c r="F21" i="6"/>
  <c r="G21" i="6" s="1"/>
  <c r="G19" i="6"/>
  <c r="I19" i="6" s="1"/>
  <c r="F19" i="6"/>
  <c r="F17" i="6"/>
  <c r="F48" i="6" s="1"/>
  <c r="F15" i="6"/>
  <c r="G13" i="6"/>
  <c r="F13" i="6"/>
  <c r="G11" i="6"/>
  <c r="F11" i="6"/>
  <c r="F9" i="6"/>
  <c r="G7" i="6"/>
  <c r="I7" i="6" s="1"/>
  <c r="F7" i="6"/>
  <c r="K333" i="5"/>
  <c r="T332" i="5"/>
  <c r="K332" i="5" s="1"/>
  <c r="N332" i="5" s="1"/>
  <c r="L331" i="5"/>
  <c r="N331" i="5" s="1"/>
  <c r="K331" i="5"/>
  <c r="N324" i="5"/>
  <c r="P322" i="5"/>
  <c r="T322" i="5" s="1"/>
  <c r="K321" i="5"/>
  <c r="N315" i="5"/>
  <c r="P313" i="5"/>
  <c r="T313" i="5" s="1"/>
  <c r="K312" i="5"/>
  <c r="P305" i="5"/>
  <c r="T305" i="5" s="1"/>
  <c r="K303" i="5"/>
  <c r="N303" i="5" s="1"/>
  <c r="K302" i="5"/>
  <c r="K301" i="5"/>
  <c r="K300" i="5"/>
  <c r="K295" i="5"/>
  <c r="H19" i="5" s="1"/>
  <c r="W294" i="5"/>
  <c r="L294" i="5" s="1"/>
  <c r="N294" i="5" s="1"/>
  <c r="W293" i="5"/>
  <c r="N293" i="5"/>
  <c r="L293" i="5"/>
  <c r="W291" i="5"/>
  <c r="L291" i="5"/>
  <c r="W290" i="5"/>
  <c r="L290" i="5"/>
  <c r="W289" i="5"/>
  <c r="L289" i="5"/>
  <c r="W288" i="5"/>
  <c r="L288" i="5"/>
  <c r="R286" i="5"/>
  <c r="K286" i="5"/>
  <c r="K291" i="5" s="1"/>
  <c r="N291" i="5" s="1"/>
  <c r="M281" i="5"/>
  <c r="O281" i="5" s="1"/>
  <c r="L263" i="5" s="1"/>
  <c r="M269" i="5"/>
  <c r="M275" i="5" s="1"/>
  <c r="O275" i="5" s="1"/>
  <c r="L256" i="5" s="1"/>
  <c r="J265" i="5"/>
  <c r="H18" i="5" s="1"/>
  <c r="K261" i="5"/>
  <c r="K262" i="5" s="1"/>
  <c r="K258" i="5"/>
  <c r="K249" i="5"/>
  <c r="K248" i="5"/>
  <c r="K253" i="5" s="1"/>
  <c r="K243" i="5"/>
  <c r="H17" i="5" s="1"/>
  <c r="L241" i="5"/>
  <c r="N240" i="5"/>
  <c r="R236" i="5"/>
  <c r="K236" i="5" s="1"/>
  <c r="K231" i="5"/>
  <c r="R225" i="5"/>
  <c r="K225" i="5" s="1"/>
  <c r="K220" i="5"/>
  <c r="P218" i="5"/>
  <c r="W218" i="5" s="1"/>
  <c r="N218" i="5" s="1"/>
  <c r="L214" i="5"/>
  <c r="R211" i="5"/>
  <c r="P216" i="5" s="1"/>
  <c r="T216" i="5" s="1"/>
  <c r="K211" i="5"/>
  <c r="K206" i="5"/>
  <c r="H14" i="5" s="1"/>
  <c r="P205" i="5"/>
  <c r="T205" i="5" s="1"/>
  <c r="K205" i="5" s="1"/>
  <c r="N205" i="5" s="1"/>
  <c r="N203" i="5"/>
  <c r="K203" i="5"/>
  <c r="N202" i="5"/>
  <c r="K201" i="5"/>
  <c r="K200" i="5"/>
  <c r="N195" i="5"/>
  <c r="L175" i="5" s="1"/>
  <c r="N175" i="5" s="1"/>
  <c r="N194" i="5"/>
  <c r="N193" i="5"/>
  <c r="N192" i="5"/>
  <c r="N188" i="5"/>
  <c r="L174" i="5" s="1"/>
  <c r="N174" i="5" s="1"/>
  <c r="L180" i="5"/>
  <c r="R182" i="5" s="1"/>
  <c r="W182" i="5" s="1"/>
  <c r="K182" i="5" s="1"/>
  <c r="K177" i="5"/>
  <c r="H13" i="5" s="1"/>
  <c r="H173" i="5"/>
  <c r="K173" i="5" s="1"/>
  <c r="H172" i="5"/>
  <c r="K172" i="5" s="1"/>
  <c r="L164" i="5"/>
  <c r="L163" i="5"/>
  <c r="H154" i="5"/>
  <c r="H157" i="5" s="1"/>
  <c r="O157" i="5" s="1"/>
  <c r="L149" i="5" s="1"/>
  <c r="K151" i="5"/>
  <c r="H11" i="5" s="1"/>
  <c r="K148" i="5"/>
  <c r="K149" i="5" s="1"/>
  <c r="L143" i="5"/>
  <c r="L142" i="5"/>
  <c r="L226" i="5" s="1"/>
  <c r="R141" i="5"/>
  <c r="K144" i="5" s="1"/>
  <c r="L141" i="5"/>
  <c r="L236" i="5" s="1"/>
  <c r="K136" i="5"/>
  <c r="P133" i="5"/>
  <c r="T133" i="5" s="1"/>
  <c r="N131" i="5"/>
  <c r="K131" i="5"/>
  <c r="P130" i="5"/>
  <c r="U130" i="5" s="1"/>
  <c r="L130" i="5" s="1"/>
  <c r="N130" i="5" s="1"/>
  <c r="K129" i="5"/>
  <c r="L128" i="5"/>
  <c r="K128" i="5"/>
  <c r="K127" i="5"/>
  <c r="K122" i="5"/>
  <c r="H9" i="5" s="1"/>
  <c r="R114" i="5"/>
  <c r="K117" i="5" s="1"/>
  <c r="K109" i="5"/>
  <c r="H8" i="5" s="1"/>
  <c r="R103" i="5"/>
  <c r="L103" i="5" s="1"/>
  <c r="R102" i="5"/>
  <c r="L102" i="5" s="1"/>
  <c r="R101" i="5"/>
  <c r="L101" i="5" s="1"/>
  <c r="R100" i="5"/>
  <c r="L100" i="5" s="1"/>
  <c r="R99" i="5"/>
  <c r="L99" i="5" s="1"/>
  <c r="K99" i="5"/>
  <c r="R98" i="5"/>
  <c r="L98" i="5" s="1"/>
  <c r="R97" i="5"/>
  <c r="L97" i="5" s="1"/>
  <c r="R96" i="5"/>
  <c r="L96" i="5" s="1"/>
  <c r="R95" i="5"/>
  <c r="L95" i="5" s="1"/>
  <c r="R94" i="5"/>
  <c r="L94" i="5" s="1"/>
  <c r="R93" i="5"/>
  <c r="L93" i="5" s="1"/>
  <c r="R92" i="5"/>
  <c r="L92" i="5" s="1"/>
  <c r="R91" i="5"/>
  <c r="L91" i="5" s="1"/>
  <c r="R90" i="5"/>
  <c r="L90" i="5" s="1"/>
  <c r="R89" i="5"/>
  <c r="L89" i="5" s="1"/>
  <c r="R88" i="5"/>
  <c r="L88" i="5" s="1"/>
  <c r="R87" i="5"/>
  <c r="L87" i="5" s="1"/>
  <c r="R86" i="5"/>
  <c r="L86" i="5" s="1"/>
  <c r="R85" i="5"/>
  <c r="L85" i="5" s="1"/>
  <c r="R84" i="5"/>
  <c r="L84" i="5" s="1"/>
  <c r="R83" i="5"/>
  <c r="L83" i="5" s="1"/>
  <c r="K83" i="5"/>
  <c r="R82" i="5"/>
  <c r="L82" i="5" s="1"/>
  <c r="R81" i="5"/>
  <c r="L81" i="5" s="1"/>
  <c r="R80" i="5"/>
  <c r="L80" i="5" s="1"/>
  <c r="R79" i="5"/>
  <c r="L79" i="5" s="1"/>
  <c r="U78" i="5"/>
  <c r="R78" i="5"/>
  <c r="L78" i="5" s="1"/>
  <c r="P78" i="5"/>
  <c r="U77" i="5"/>
  <c r="R77" i="5"/>
  <c r="P77" i="5"/>
  <c r="L77" i="5" s="1"/>
  <c r="U76" i="5"/>
  <c r="R76" i="5"/>
  <c r="P76" i="5"/>
  <c r="L76" i="5"/>
  <c r="U75" i="5"/>
  <c r="R75" i="5"/>
  <c r="P75" i="5"/>
  <c r="L75" i="5" s="1"/>
  <c r="U74" i="5"/>
  <c r="R74" i="5"/>
  <c r="P74" i="5"/>
  <c r="P73" i="5"/>
  <c r="U73" i="5" s="1"/>
  <c r="L73" i="5" s="1"/>
  <c r="L71" i="5"/>
  <c r="R70" i="5"/>
  <c r="K104" i="5" s="1"/>
  <c r="K65" i="5"/>
  <c r="H7" i="5" s="1"/>
  <c r="R63" i="5"/>
  <c r="L63" i="5" s="1"/>
  <c r="R62" i="5"/>
  <c r="L62" i="5" s="1"/>
  <c r="R61" i="5"/>
  <c r="L61" i="5" s="1"/>
  <c r="R60" i="5"/>
  <c r="L60" i="5" s="1"/>
  <c r="R59" i="5"/>
  <c r="L59" i="5" s="1"/>
  <c r="R58" i="5"/>
  <c r="L58" i="5" s="1"/>
  <c r="R57" i="5"/>
  <c r="L57" i="5" s="1"/>
  <c r="R56" i="5"/>
  <c r="L56" i="5" s="1"/>
  <c r="K56" i="5"/>
  <c r="N56" i="5" s="1"/>
  <c r="R55" i="5"/>
  <c r="L55" i="5" s="1"/>
  <c r="R54" i="5"/>
  <c r="L54" i="5" s="1"/>
  <c r="R53" i="5"/>
  <c r="L53" i="5" s="1"/>
  <c r="R52" i="5"/>
  <c r="L52" i="5" s="1"/>
  <c r="R51" i="5"/>
  <c r="L51" i="5" s="1"/>
  <c r="R50" i="5"/>
  <c r="L50" i="5" s="1"/>
  <c r="R49" i="5"/>
  <c r="L49" i="5" s="1"/>
  <c r="R48" i="5"/>
  <c r="L48" i="5" s="1"/>
  <c r="R47" i="5"/>
  <c r="L47" i="5" s="1"/>
  <c r="R46" i="5"/>
  <c r="L46" i="5" s="1"/>
  <c r="R45" i="5"/>
  <c r="L45" i="5" s="1"/>
  <c r="R44" i="5"/>
  <c r="L44" i="5" s="1"/>
  <c r="R43" i="5"/>
  <c r="L43" i="5" s="1"/>
  <c r="R42" i="5"/>
  <c r="L42" i="5" s="1"/>
  <c r="R41" i="5"/>
  <c r="L41" i="5" s="1"/>
  <c r="R40" i="5"/>
  <c r="L40" i="5" s="1"/>
  <c r="K40" i="5"/>
  <c r="N40" i="5" s="1"/>
  <c r="R39" i="5"/>
  <c r="L39" i="5" s="1"/>
  <c r="R38" i="5"/>
  <c r="P38" i="5"/>
  <c r="L38" i="5" s="1"/>
  <c r="R37" i="5"/>
  <c r="P37" i="5"/>
  <c r="R36" i="5"/>
  <c r="P36" i="5"/>
  <c r="L36" i="5" s="1"/>
  <c r="R35" i="5"/>
  <c r="P35" i="5"/>
  <c r="L35" i="5" s="1"/>
  <c r="R34" i="5"/>
  <c r="P34" i="5"/>
  <c r="L34" i="5" s="1"/>
  <c r="K34" i="5"/>
  <c r="K76" i="5" s="1"/>
  <c r="L31" i="5"/>
  <c r="K29" i="5"/>
  <c r="R28" i="5"/>
  <c r="K30" i="5" s="1"/>
  <c r="I23" i="5"/>
  <c r="H16" i="5"/>
  <c r="H15" i="5"/>
  <c r="H10" i="5"/>
  <c r="T23" i="4"/>
  <c r="R23" i="4"/>
  <c r="L23" i="4"/>
  <c r="H23" i="4"/>
  <c r="T22" i="4"/>
  <c r="H22" i="4"/>
  <c r="T21" i="4"/>
  <c r="R21" i="4"/>
  <c r="H21" i="4"/>
  <c r="T20" i="4"/>
  <c r="R20" i="4"/>
  <c r="H20" i="4"/>
  <c r="T19" i="4"/>
  <c r="R19" i="4"/>
  <c r="H19" i="4"/>
  <c r="T18" i="4"/>
  <c r="R18" i="4"/>
  <c r="H18" i="4"/>
  <c r="H17" i="4" s="1"/>
  <c r="L17" i="4"/>
  <c r="J17" i="4"/>
  <c r="T16" i="4"/>
  <c r="R16" i="4"/>
  <c r="L16" i="4"/>
  <c r="H16" i="4"/>
  <c r="T15" i="4"/>
  <c r="R15" i="4"/>
  <c r="P15" i="4"/>
  <c r="N15" i="4"/>
  <c r="L15" i="4"/>
  <c r="H15" i="4"/>
  <c r="T14" i="4"/>
  <c r="R14" i="4"/>
  <c r="P14" i="4"/>
  <c r="N14" i="4"/>
  <c r="L14" i="4"/>
  <c r="H14" i="4"/>
  <c r="T11" i="4"/>
  <c r="R11" i="4"/>
  <c r="P11" i="4"/>
  <c r="N11" i="4"/>
  <c r="L11" i="4"/>
  <c r="H11" i="4"/>
  <c r="T9" i="4"/>
  <c r="R9" i="4"/>
  <c r="P9" i="4"/>
  <c r="P25" i="4" s="1"/>
  <c r="P26" i="4" s="1"/>
  <c r="N9" i="4"/>
  <c r="L9" i="4"/>
  <c r="H9" i="4"/>
  <c r="T8" i="4"/>
  <c r="N8" i="4"/>
  <c r="L8" i="4"/>
  <c r="H8" i="4"/>
  <c r="T7" i="4"/>
  <c r="N7" i="4"/>
  <c r="L7" i="4"/>
  <c r="H7" i="4"/>
  <c r="K46" i="5" l="1"/>
  <c r="N46" i="5" s="1"/>
  <c r="K62" i="5"/>
  <c r="N62" i="5" s="1"/>
  <c r="N83" i="5"/>
  <c r="K89" i="5"/>
  <c r="N99" i="5"/>
  <c r="K142" i="5"/>
  <c r="N142" i="5" s="1"/>
  <c r="K226" i="5"/>
  <c r="N226" i="5" s="1"/>
  <c r="K259" i="5"/>
  <c r="N259" i="5" s="1"/>
  <c r="F38" i="6"/>
  <c r="F50" i="6"/>
  <c r="K28" i="5"/>
  <c r="L37" i="5"/>
  <c r="K52" i="5"/>
  <c r="N52" i="5" s="1"/>
  <c r="K79" i="5"/>
  <c r="N79" i="5" s="1"/>
  <c r="N89" i="5"/>
  <c r="K95" i="5"/>
  <c r="N95" i="5" s="1"/>
  <c r="K115" i="5"/>
  <c r="O154" i="5"/>
  <c r="L148" i="5" s="1"/>
  <c r="N148" i="5" s="1"/>
  <c r="K227" i="5"/>
  <c r="H25" i="4"/>
  <c r="L25" i="4"/>
  <c r="L28" i="5"/>
  <c r="N28" i="5" s="1"/>
  <c r="K38" i="5"/>
  <c r="N38" i="5" s="1"/>
  <c r="K42" i="5"/>
  <c r="N42" i="5" s="1"/>
  <c r="K58" i="5"/>
  <c r="K85" i="5"/>
  <c r="K101" i="5"/>
  <c r="N101" i="5" s="1"/>
  <c r="L115" i="5"/>
  <c r="K143" i="5"/>
  <c r="R183" i="5"/>
  <c r="W183" i="5" s="1"/>
  <c r="K183" i="5" s="1"/>
  <c r="L201" i="5"/>
  <c r="N201" i="5" s="1"/>
  <c r="K213" i="5"/>
  <c r="P228" i="5"/>
  <c r="T228" i="5" s="1"/>
  <c r="N253" i="5"/>
  <c r="L301" i="5"/>
  <c r="N301" i="5" s="1"/>
  <c r="I8" i="6"/>
  <c r="K35" i="5"/>
  <c r="K48" i="5"/>
  <c r="N48" i="5" s="1"/>
  <c r="K75" i="5"/>
  <c r="N85" i="5"/>
  <c r="K91" i="5"/>
  <c r="F44" i="6"/>
  <c r="N93" i="5"/>
  <c r="T25" i="4"/>
  <c r="T26" i="4" s="1"/>
  <c r="T27" i="4" s="1"/>
  <c r="N75" i="5"/>
  <c r="K81" i="5"/>
  <c r="K97" i="5"/>
  <c r="P146" i="5"/>
  <c r="T146" i="5" s="1"/>
  <c r="K250" i="5"/>
  <c r="O269" i="5"/>
  <c r="L250" i="5" s="1"/>
  <c r="F40" i="6"/>
  <c r="I20" i="6"/>
  <c r="N25" i="4"/>
  <c r="N26" i="4" s="1"/>
  <c r="K54" i="5"/>
  <c r="N54" i="5" s="1"/>
  <c r="N91" i="5"/>
  <c r="R25" i="4"/>
  <c r="R26" i="4" s="1"/>
  <c r="R27" i="4" s="1"/>
  <c r="L29" i="5"/>
  <c r="N29" i="5" s="1"/>
  <c r="K44" i="5"/>
  <c r="N44" i="5" s="1"/>
  <c r="K60" i="5"/>
  <c r="N60" i="5" s="1"/>
  <c r="K71" i="5"/>
  <c r="N71" i="5" s="1"/>
  <c r="N81" i="5"/>
  <c r="K87" i="5"/>
  <c r="N97" i="5"/>
  <c r="K103" i="5"/>
  <c r="N128" i="5"/>
  <c r="K141" i="5"/>
  <c r="N141" i="5" s="1"/>
  <c r="M272" i="5"/>
  <c r="O272" i="5" s="1"/>
  <c r="L253" i="5" s="1"/>
  <c r="K31" i="5"/>
  <c r="N31" i="5" s="1"/>
  <c r="K50" i="5"/>
  <c r="N87" i="5"/>
  <c r="K93" i="5"/>
  <c r="N103" i="5"/>
  <c r="N236" i="5"/>
  <c r="K255" i="5"/>
  <c r="M278" i="5"/>
  <c r="O278" i="5" s="1"/>
  <c r="L259" i="5" s="1"/>
  <c r="G46" i="6"/>
  <c r="I30" i="6"/>
  <c r="I29" i="6"/>
  <c r="G9" i="6"/>
  <c r="F35" i="6"/>
  <c r="G17" i="6"/>
  <c r="G48" i="6" s="1"/>
  <c r="I27" i="6"/>
  <c r="G15" i="6"/>
  <c r="G40" i="6" s="1"/>
  <c r="F46" i="6"/>
  <c r="F42" i="6"/>
  <c r="N30" i="5"/>
  <c r="K216" i="5"/>
  <c r="N216" i="5" s="1"/>
  <c r="K217" i="5"/>
  <c r="N217" i="5" s="1"/>
  <c r="N35" i="5"/>
  <c r="N58" i="5"/>
  <c r="L74" i="5"/>
  <c r="N150" i="5"/>
  <c r="K146" i="5"/>
  <c r="N146" i="5" s="1"/>
  <c r="K147" i="5"/>
  <c r="N147" i="5" s="1"/>
  <c r="N76" i="5"/>
  <c r="N149" i="5"/>
  <c r="K133" i="5"/>
  <c r="N133" i="5" s="1"/>
  <c r="K134" i="5"/>
  <c r="N134" i="5" s="1"/>
  <c r="N90" i="5"/>
  <c r="K322" i="5"/>
  <c r="N322" i="5" s="1"/>
  <c r="K323" i="5"/>
  <c r="N323" i="5" s="1"/>
  <c r="N50" i="5"/>
  <c r="K305" i="5"/>
  <c r="N305" i="5" s="1"/>
  <c r="K306" i="5"/>
  <c r="N306" i="5" s="1"/>
  <c r="N333" i="5"/>
  <c r="L333" i="5" s="1"/>
  <c r="L30" i="5"/>
  <c r="L238" i="5"/>
  <c r="L72" i="5"/>
  <c r="N143" i="5"/>
  <c r="L312" i="5"/>
  <c r="N312" i="5" s="1"/>
  <c r="L321" i="5"/>
  <c r="N321" i="5" s="1"/>
  <c r="L129" i="5"/>
  <c r="N129" i="5" s="1"/>
  <c r="L116" i="5"/>
  <c r="L213" i="5"/>
  <c r="N213" i="5" s="1"/>
  <c r="L302" i="5"/>
  <c r="N302" i="5" s="1"/>
  <c r="L227" i="5"/>
  <c r="N227" i="5" s="1"/>
  <c r="K314" i="5"/>
  <c r="N314" i="5" s="1"/>
  <c r="K313" i="5"/>
  <c r="N313" i="5" s="1"/>
  <c r="L211" i="5"/>
  <c r="N211" i="5" s="1"/>
  <c r="N286" i="5"/>
  <c r="L173" i="5"/>
  <c r="N173" i="5" s="1"/>
  <c r="K214" i="5"/>
  <c r="N214" i="5" s="1"/>
  <c r="K237" i="5"/>
  <c r="P239" i="5"/>
  <c r="T239" i="5" s="1"/>
  <c r="K239" i="5" s="1"/>
  <c r="N239" i="5" s="1"/>
  <c r="K37" i="5"/>
  <c r="N37" i="5" s="1"/>
  <c r="K72" i="5"/>
  <c r="K74" i="5"/>
  <c r="K78" i="5"/>
  <c r="N78" i="5" s="1"/>
  <c r="K116" i="5"/>
  <c r="L225" i="5"/>
  <c r="N225" i="5" s="1"/>
  <c r="L237" i="5"/>
  <c r="K252" i="5"/>
  <c r="K288" i="5"/>
  <c r="N288" i="5" s="1"/>
  <c r="K290" i="5"/>
  <c r="N290" i="5" s="1"/>
  <c r="P106" i="5"/>
  <c r="T106" i="5" s="1"/>
  <c r="K114" i="5"/>
  <c r="K212" i="5"/>
  <c r="K263" i="5"/>
  <c r="N263" i="5" s="1"/>
  <c r="K70" i="5"/>
  <c r="K39" i="5"/>
  <c r="N39" i="5" s="1"/>
  <c r="K41" i="5"/>
  <c r="N41" i="5" s="1"/>
  <c r="K43" i="5"/>
  <c r="N43" i="5" s="1"/>
  <c r="K45" i="5"/>
  <c r="N45" i="5" s="1"/>
  <c r="K47" i="5"/>
  <c r="N47" i="5" s="1"/>
  <c r="K49" i="5"/>
  <c r="N49" i="5" s="1"/>
  <c r="K51" i="5"/>
  <c r="N51" i="5" s="1"/>
  <c r="K53" i="5"/>
  <c r="N53" i="5" s="1"/>
  <c r="K55" i="5"/>
  <c r="N55" i="5" s="1"/>
  <c r="K57" i="5"/>
  <c r="N57" i="5" s="1"/>
  <c r="K59" i="5"/>
  <c r="N59" i="5" s="1"/>
  <c r="K61" i="5"/>
  <c r="N61" i="5" s="1"/>
  <c r="K63" i="5"/>
  <c r="N63" i="5" s="1"/>
  <c r="L70" i="5"/>
  <c r="N70" i="5" s="1"/>
  <c r="K77" i="5"/>
  <c r="N77" i="5" s="1"/>
  <c r="K80" i="5"/>
  <c r="N80" i="5" s="1"/>
  <c r="K82" i="5"/>
  <c r="N82" i="5" s="1"/>
  <c r="K84" i="5"/>
  <c r="N84" i="5" s="1"/>
  <c r="K86" i="5"/>
  <c r="N86" i="5" s="1"/>
  <c r="K88" i="5"/>
  <c r="N88" i="5" s="1"/>
  <c r="K90" i="5"/>
  <c r="K92" i="5"/>
  <c r="N92" i="5" s="1"/>
  <c r="K94" i="5"/>
  <c r="N94" i="5" s="1"/>
  <c r="K96" i="5"/>
  <c r="N96" i="5" s="1"/>
  <c r="K98" i="5"/>
  <c r="N98" i="5" s="1"/>
  <c r="K100" i="5"/>
  <c r="N100" i="5" s="1"/>
  <c r="K102" i="5"/>
  <c r="N102" i="5" s="1"/>
  <c r="L114" i="5"/>
  <c r="P119" i="5"/>
  <c r="T119" i="5" s="1"/>
  <c r="L212" i="5"/>
  <c r="K238" i="5"/>
  <c r="K241" i="5"/>
  <c r="N241" i="5" s="1"/>
  <c r="K256" i="5"/>
  <c r="N256" i="5" s="1"/>
  <c r="L300" i="5"/>
  <c r="N300" i="5" s="1"/>
  <c r="L200" i="5"/>
  <c r="N200" i="5" s="1"/>
  <c r="N34" i="5"/>
  <c r="K36" i="5"/>
  <c r="N36" i="5" s="1"/>
  <c r="K73" i="5"/>
  <c r="N73" i="5" s="1"/>
  <c r="L127" i="5"/>
  <c r="N127" i="5" s="1"/>
  <c r="L172" i="5"/>
  <c r="N172" i="5" s="1"/>
  <c r="K289" i="5"/>
  <c r="N289" i="5" s="1"/>
  <c r="E80" i="3"/>
  <c r="N206" i="5" l="1"/>
  <c r="L206" i="5" s="1"/>
  <c r="I14" i="5" s="1"/>
  <c r="K14" i="5" s="1"/>
  <c r="G35" i="6"/>
  <c r="N250" i="5"/>
  <c r="N65" i="5"/>
  <c r="L65" i="5" s="1"/>
  <c r="I7" i="5" s="1"/>
  <c r="K7" i="5" s="1"/>
  <c r="G38" i="6"/>
  <c r="K228" i="5"/>
  <c r="N228" i="5" s="1"/>
  <c r="K229" i="5"/>
  <c r="N229" i="5" s="1"/>
  <c r="G42" i="6"/>
  <c r="N238" i="5"/>
  <c r="N72" i="5"/>
  <c r="N114" i="5"/>
  <c r="G44" i="6"/>
  <c r="N115" i="5"/>
  <c r="G50" i="6"/>
  <c r="I9" i="6"/>
  <c r="I10" i="6"/>
  <c r="N308" i="5"/>
  <c r="N307" i="5"/>
  <c r="N325" i="5"/>
  <c r="N326" i="5" s="1"/>
  <c r="N252" i="5"/>
  <c r="N254" i="5" s="1"/>
  <c r="N176" i="5"/>
  <c r="N177" i="5" s="1"/>
  <c r="L177" i="5" s="1"/>
  <c r="I13" i="5" s="1"/>
  <c r="K13" i="5" s="1"/>
  <c r="M277" i="5"/>
  <c r="O277" i="5" s="1"/>
  <c r="L258" i="5" s="1"/>
  <c r="N258" i="5" s="1"/>
  <c r="N260" i="5" s="1"/>
  <c r="M280" i="5"/>
  <c r="O280" i="5" s="1"/>
  <c r="L262" i="5" s="1"/>
  <c r="N262" i="5" s="1"/>
  <c r="N264" i="5" s="1"/>
  <c r="M274" i="5"/>
  <c r="O274" i="5" s="1"/>
  <c r="L255" i="5" s="1"/>
  <c r="N255" i="5" s="1"/>
  <c r="N257" i="5" s="1"/>
  <c r="M268" i="5"/>
  <c r="O268" i="5" s="1"/>
  <c r="L249" i="5" s="1"/>
  <c r="N249" i="5" s="1"/>
  <c r="M271" i="5"/>
  <c r="O271" i="5" s="1"/>
  <c r="L252" i="5" s="1"/>
  <c r="N237" i="5"/>
  <c r="N243" i="5" s="1"/>
  <c r="L243" i="5" s="1"/>
  <c r="I17" i="5" s="1"/>
  <c r="K17" i="5" s="1"/>
  <c r="N316" i="5"/>
  <c r="N317" i="5" s="1"/>
  <c r="N74" i="5"/>
  <c r="N230" i="5"/>
  <c r="N231" i="5" s="1"/>
  <c r="L231" i="5" s="1"/>
  <c r="I16" i="5" s="1"/>
  <c r="K16" i="5" s="1"/>
  <c r="N108" i="5"/>
  <c r="N116" i="5"/>
  <c r="K107" i="5"/>
  <c r="N107" i="5" s="1"/>
  <c r="K106" i="5"/>
  <c r="N106" i="5" s="1"/>
  <c r="N135" i="5"/>
  <c r="N136" i="5" s="1"/>
  <c r="L136" i="5" s="1"/>
  <c r="I10" i="5" s="1"/>
  <c r="K10" i="5" s="1"/>
  <c r="N212" i="5"/>
  <c r="N219" i="5" s="1"/>
  <c r="N220" i="5" s="1"/>
  <c r="L220" i="5" s="1"/>
  <c r="I15" i="5" s="1"/>
  <c r="K15" i="5" s="1"/>
  <c r="K120" i="5"/>
  <c r="N120" i="5" s="1"/>
  <c r="K119" i="5"/>
  <c r="N119" i="5" s="1"/>
  <c r="N295" i="5"/>
  <c r="L295" i="5" s="1"/>
  <c r="I19" i="5" s="1"/>
  <c r="K19" i="5" s="1"/>
  <c r="F92" i="3"/>
  <c r="D94" i="3" s="1"/>
  <c r="E94" i="3" s="1"/>
  <c r="F85" i="3"/>
  <c r="D87" i="3" s="1"/>
  <c r="E87" i="3" s="1"/>
  <c r="D75" i="3"/>
  <c r="G75" i="3" s="1"/>
  <c r="D60" i="3"/>
  <c r="I62" i="3" s="1"/>
  <c r="D52" i="3"/>
  <c r="F52" i="3" s="1"/>
  <c r="D49" i="3"/>
  <c r="E49" i="3" s="1"/>
  <c r="H36" i="3"/>
  <c r="L36" i="3" s="1"/>
  <c r="O36" i="3" s="1"/>
  <c r="N25" i="3"/>
  <c r="P25" i="3" s="1"/>
  <c r="E20" i="3"/>
  <c r="E22" i="3" s="1"/>
  <c r="H22" i="3" s="1"/>
  <c r="N18" i="3"/>
  <c r="K10" i="3"/>
  <c r="P9" i="3" s="1"/>
  <c r="J7" i="3"/>
  <c r="H7" i="3"/>
  <c r="D47" i="3" s="1"/>
  <c r="G47" i="3" s="1"/>
  <c r="I78" i="3" s="1"/>
  <c r="F463" i="2"/>
  <c r="D465" i="2" s="1"/>
  <c r="J465" i="2" s="1"/>
  <c r="H470" i="2" s="1"/>
  <c r="J454" i="2"/>
  <c r="F470" i="2" s="1"/>
  <c r="D454" i="2"/>
  <c r="F452" i="2"/>
  <c r="F444" i="2"/>
  <c r="D444" i="2"/>
  <c r="J444" i="2" s="1"/>
  <c r="D470" i="2" s="1"/>
  <c r="J470" i="2" s="1"/>
  <c r="M438" i="2"/>
  <c r="E414" i="2"/>
  <c r="E413" i="2" s="1"/>
  <c r="G428" i="2" s="1"/>
  <c r="I428" i="2" s="1"/>
  <c r="O428" i="2" s="1"/>
  <c r="E401" i="2"/>
  <c r="O405" i="2" s="1"/>
  <c r="Q375" i="2"/>
  <c r="M375" i="2"/>
  <c r="K354" i="2"/>
  <c r="I354" i="2"/>
  <c r="I344" i="2"/>
  <c r="C346" i="2" s="1"/>
  <c r="F335" i="2"/>
  <c r="D335" i="2"/>
  <c r="G325" i="2"/>
  <c r="F318" i="2"/>
  <c r="D312" i="2"/>
  <c r="H310" i="2"/>
  <c r="G304" i="2"/>
  <c r="D318" i="2" s="1"/>
  <c r="D320" i="2" s="1"/>
  <c r="H289" i="2"/>
  <c r="D291" i="2" s="1"/>
  <c r="F297" i="2" s="1"/>
  <c r="F281" i="2"/>
  <c r="D297" i="2" s="1"/>
  <c r="D299" i="2" s="1"/>
  <c r="F274" i="2"/>
  <c r="E243" i="2"/>
  <c r="E242" i="2"/>
  <c r="E241" i="2"/>
  <c r="D245" i="2" s="1"/>
  <c r="H246" i="2" s="1"/>
  <c r="H251" i="2" s="1"/>
  <c r="F236" i="2"/>
  <c r="D274" i="2" s="1"/>
  <c r="D276" i="2" s="1"/>
  <c r="J232" i="2"/>
  <c r="H232" i="2"/>
  <c r="F232" i="2"/>
  <c r="F234" i="2" s="1"/>
  <c r="H209" i="2"/>
  <c r="F207" i="2"/>
  <c r="F209" i="2" s="1"/>
  <c r="J209" i="2" s="1"/>
  <c r="N209" i="2" s="1"/>
  <c r="H215" i="2" s="1"/>
  <c r="F205" i="2"/>
  <c r="D215" i="2" s="1"/>
  <c r="F203" i="2"/>
  <c r="J215" i="2" s="1"/>
  <c r="F156" i="2"/>
  <c r="D154" i="2"/>
  <c r="H156" i="2" s="1"/>
  <c r="D125" i="2"/>
  <c r="D139" i="2" s="1"/>
  <c r="L103" i="2"/>
  <c r="J103" i="2"/>
  <c r="L102" i="2"/>
  <c r="J102" i="2"/>
  <c r="L101" i="2"/>
  <c r="J101" i="2"/>
  <c r="L100" i="2"/>
  <c r="J100" i="2"/>
  <c r="L99" i="2"/>
  <c r="J99" i="2"/>
  <c r="L98" i="2"/>
  <c r="J98" i="2"/>
  <c r="L97" i="2"/>
  <c r="J97" i="2"/>
  <c r="L96" i="2"/>
  <c r="J96" i="2"/>
  <c r="L95" i="2"/>
  <c r="J95" i="2"/>
  <c r="L94" i="2"/>
  <c r="J94" i="2"/>
  <c r="L93" i="2"/>
  <c r="J93" i="2"/>
  <c r="L92" i="2"/>
  <c r="J92" i="2"/>
  <c r="L91" i="2"/>
  <c r="J91" i="2"/>
  <c r="L90" i="2"/>
  <c r="J90" i="2"/>
  <c r="L89" i="2"/>
  <c r="J89" i="2"/>
  <c r="L88" i="2"/>
  <c r="J88" i="2"/>
  <c r="L87" i="2"/>
  <c r="J87" i="2"/>
  <c r="L86" i="2"/>
  <c r="J86" i="2"/>
  <c r="L85" i="2"/>
  <c r="J85" i="2"/>
  <c r="L84" i="2"/>
  <c r="J84" i="2"/>
  <c r="L83" i="2"/>
  <c r="J83" i="2"/>
  <c r="L82" i="2"/>
  <c r="J82" i="2"/>
  <c r="L81" i="2"/>
  <c r="J81" i="2"/>
  <c r="L80" i="2"/>
  <c r="J80" i="2"/>
  <c r="L79" i="2"/>
  <c r="J79" i="2"/>
  <c r="H78" i="2"/>
  <c r="F78" i="2"/>
  <c r="J78" i="2" s="1"/>
  <c r="L78" i="2" s="1"/>
  <c r="D78" i="2"/>
  <c r="H77" i="2"/>
  <c r="F77" i="2"/>
  <c r="D77" i="2"/>
  <c r="H76" i="2"/>
  <c r="F76" i="2"/>
  <c r="D76" i="2"/>
  <c r="J75" i="2"/>
  <c r="H75" i="2"/>
  <c r="F75" i="2"/>
  <c r="D75" i="2"/>
  <c r="H74" i="2"/>
  <c r="F74" i="2"/>
  <c r="D7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F18" i="2"/>
  <c r="J18" i="2" s="1"/>
  <c r="D18" i="2"/>
  <c r="F17" i="2"/>
  <c r="D17" i="2"/>
  <c r="F16" i="2"/>
  <c r="J16" i="2" s="1"/>
  <c r="D16" i="2"/>
  <c r="F15" i="2"/>
  <c r="J15" i="2" s="1"/>
  <c r="D15" i="2"/>
  <c r="F14" i="2"/>
  <c r="J14" i="2" s="1"/>
  <c r="D14" i="2"/>
  <c r="D175" i="1"/>
  <c r="D173" i="1"/>
  <c r="C171" i="1"/>
  <c r="L156" i="1"/>
  <c r="L128" i="1"/>
  <c r="D128" i="1"/>
  <c r="F117" i="1"/>
  <c r="E157" i="1" s="1"/>
  <c r="F116" i="1"/>
  <c r="T156" i="1" s="1"/>
  <c r="F115" i="1"/>
  <c r="R156" i="1" s="1"/>
  <c r="F114" i="1"/>
  <c r="P156" i="1" s="1"/>
  <c r="F113" i="1"/>
  <c r="N128" i="1" s="1"/>
  <c r="F112" i="1"/>
  <c r="H137" i="1" s="1"/>
  <c r="F109" i="1"/>
  <c r="J156" i="1" s="1"/>
  <c r="F107" i="1"/>
  <c r="D183" i="1" s="1"/>
  <c r="F106" i="1"/>
  <c r="F105" i="1"/>
  <c r="D156" i="1" s="1"/>
  <c r="M89" i="1"/>
  <c r="E91" i="1" s="1"/>
  <c r="E89" i="1"/>
  <c r="G34" i="1"/>
  <c r="G32" i="1"/>
  <c r="C40" i="1" s="1"/>
  <c r="I40" i="1" s="1"/>
  <c r="G31" i="1"/>
  <c r="G30" i="1"/>
  <c r="G29" i="1"/>
  <c r="P31" i="1" s="1"/>
  <c r="H22" i="1"/>
  <c r="H17" i="1"/>
  <c r="K17" i="1" s="1"/>
  <c r="L29" i="1" s="1"/>
  <c r="K16" i="1"/>
  <c r="H16" i="1"/>
  <c r="K14" i="1"/>
  <c r="Q89" i="1" s="1"/>
  <c r="H14" i="1"/>
  <c r="D14" i="1"/>
  <c r="G33" i="1" s="1"/>
  <c r="N7" i="1"/>
  <c r="L147" i="1" l="1"/>
  <c r="L75" i="2"/>
  <c r="D337" i="2"/>
  <c r="F119" i="1"/>
  <c r="D310" i="2"/>
  <c r="M354" i="2"/>
  <c r="M360" i="2" s="1"/>
  <c r="G62" i="3"/>
  <c r="K62" i="3" s="1"/>
  <c r="N62" i="3" s="1"/>
  <c r="D64" i="3" s="1"/>
  <c r="H147" i="1"/>
  <c r="N27" i="3"/>
  <c r="N121" i="5"/>
  <c r="J17" i="2"/>
  <c r="J44" i="2" s="1"/>
  <c r="J147" i="1"/>
  <c r="D223" i="2"/>
  <c r="N251" i="5"/>
  <c r="N265" i="5" s="1"/>
  <c r="K164" i="5"/>
  <c r="N164" i="5" s="1"/>
  <c r="G145" i="5"/>
  <c r="G118" i="5" s="1"/>
  <c r="L144" i="5"/>
  <c r="N144" i="5" s="1"/>
  <c r="N151" i="5" s="1"/>
  <c r="L151" i="5" s="1"/>
  <c r="I11" i="5" s="1"/>
  <c r="K11" i="5" s="1"/>
  <c r="K166" i="5"/>
  <c r="K163" i="5"/>
  <c r="N163" i="5" s="1"/>
  <c r="G144" i="5"/>
  <c r="G117" i="5" s="1"/>
  <c r="L117" i="5"/>
  <c r="N117" i="5" s="1"/>
  <c r="L104" i="5"/>
  <c r="N104" i="5" s="1"/>
  <c r="N109" i="5" s="1"/>
  <c r="L109" i="5" s="1"/>
  <c r="I8" i="5" s="1"/>
  <c r="K8" i="5" s="1"/>
  <c r="G104" i="5"/>
  <c r="G131" i="5" s="1"/>
  <c r="G105" i="5"/>
  <c r="G132" i="5" s="1"/>
  <c r="K20" i="5"/>
  <c r="D14" i="3"/>
  <c r="L27" i="3" s="1"/>
  <c r="R9" i="3"/>
  <c r="L7" i="3"/>
  <c r="J156" i="2"/>
  <c r="L76" i="2"/>
  <c r="D217" i="2"/>
  <c r="F223" i="2" s="1"/>
  <c r="M370" i="2"/>
  <c r="Q370" i="2" s="1"/>
  <c r="D259" i="2"/>
  <c r="J235" i="2"/>
  <c r="F251" i="2" s="1"/>
  <c r="D253" i="2" s="1"/>
  <c r="G253" i="2" s="1"/>
  <c r="F259" i="2" s="1"/>
  <c r="J77" i="2"/>
  <c r="L77" i="2" s="1"/>
  <c r="J74" i="2"/>
  <c r="L74" i="2" s="1"/>
  <c r="D131" i="2"/>
  <c r="M405" i="2"/>
  <c r="Q405" i="2" s="1"/>
  <c r="G423" i="2"/>
  <c r="I423" i="2" s="1"/>
  <c r="O423" i="2" s="1"/>
  <c r="G418" i="2"/>
  <c r="I418" i="2" s="1"/>
  <c r="E433" i="2" s="1"/>
  <c r="H131" i="2"/>
  <c r="J76" i="2"/>
  <c r="E412" i="2"/>
  <c r="O20" i="1"/>
  <c r="P30" i="1"/>
  <c r="P29" i="1"/>
  <c r="F165" i="1"/>
  <c r="O35" i="1"/>
  <c r="F128" i="1"/>
  <c r="N147" i="1"/>
  <c r="N156" i="1"/>
  <c r="D167" i="1"/>
  <c r="H128" i="1"/>
  <c r="J137" i="1"/>
  <c r="P147" i="1"/>
  <c r="J128" i="1"/>
  <c r="D139" i="1"/>
  <c r="D150" i="1"/>
  <c r="F137" i="1"/>
  <c r="D147" i="1"/>
  <c r="I89" i="1"/>
  <c r="C91" i="1" s="1"/>
  <c r="C93" i="1" s="1"/>
  <c r="F93" i="1" s="1"/>
  <c r="J93" i="1" s="1"/>
  <c r="F147" i="1"/>
  <c r="F156" i="1"/>
  <c r="D181" i="1"/>
  <c r="D131" i="1"/>
  <c r="H156" i="1"/>
  <c r="D159" i="1"/>
  <c r="F181" i="1"/>
  <c r="D137" i="1"/>
  <c r="D165" i="1"/>
  <c r="D56" i="2" l="1"/>
  <c r="D49" i="2"/>
  <c r="H49" i="2"/>
  <c r="N122" i="5"/>
  <c r="L122" i="5" s="1"/>
  <c r="I9" i="5" s="1"/>
  <c r="K9" i="5" s="1"/>
  <c r="O365" i="2"/>
  <c r="L104" i="2"/>
  <c r="H110" i="2" s="1"/>
  <c r="M365" i="2"/>
  <c r="Q365" i="2" s="1"/>
  <c r="O360" i="2"/>
  <c r="Q360" i="2" s="1"/>
  <c r="E380" i="2" s="1"/>
  <c r="D225" i="2"/>
  <c r="N166" i="5"/>
  <c r="N167" i="5" s="1"/>
  <c r="I12" i="5" s="1"/>
  <c r="K12" i="5" s="1"/>
  <c r="N266" i="5"/>
  <c r="L265" i="5"/>
  <c r="I18" i="5" s="1"/>
  <c r="K18" i="5" s="1"/>
  <c r="G27" i="3"/>
  <c r="E29" i="3" s="1"/>
  <c r="H29" i="3" s="1"/>
  <c r="D31" i="3" s="1"/>
  <c r="P7" i="3"/>
  <c r="I38" i="3" s="1"/>
  <c r="D118" i="2"/>
  <c r="D133" i="2"/>
  <c r="F139" i="2" s="1"/>
  <c r="D141" i="2" s="1"/>
  <c r="D261" i="2"/>
  <c r="D164" i="2"/>
  <c r="D166" i="2" s="1"/>
  <c r="F172" i="2" s="1"/>
  <c r="H158" i="2"/>
  <c r="J158" i="2" s="1"/>
  <c r="D172" i="2"/>
  <c r="H164" i="2"/>
  <c r="K21" i="5" l="1"/>
  <c r="F23" i="5" s="1"/>
  <c r="K23" i="5" s="1"/>
  <c r="D51" i="2"/>
  <c r="F56" i="2" s="1"/>
  <c r="D58" i="2" s="1"/>
  <c r="D110" i="2"/>
  <c r="D112" i="2" s="1"/>
  <c r="F118" i="2" s="1"/>
  <c r="D120" i="2" s="1"/>
  <c r="E40" i="3"/>
  <c r="D174" i="2"/>
  <c r="D196" i="2" s="1"/>
  <c r="J180" i="2"/>
  <c r="F180" i="2"/>
  <c r="D182" i="2" s="1"/>
  <c r="F188" i="2" s="1"/>
  <c r="D188" i="2"/>
  <c r="D190" i="2" l="1"/>
  <c r="F196" i="2" s="1"/>
  <c r="D198" i="2" s="1"/>
</calcChain>
</file>

<file path=xl/sharedStrings.xml><?xml version="1.0" encoding="utf-8"?>
<sst xmlns="http://schemas.openxmlformats.org/spreadsheetml/2006/main" count="2366" uniqueCount="873">
  <si>
    <t>トラッククレーンベント架設の積算</t>
  </si>
  <si>
    <t>１．橋梁形式</t>
  </si>
  <si>
    <t>鋼３径間連続鈑桁</t>
  </si>
  <si>
    <t>径間数</t>
  </si>
  <si>
    <t>+</t>
  </si>
  <si>
    <t>=</t>
  </si>
  <si>
    <t>ｍ</t>
  </si>
  <si>
    <t>総幅員</t>
  </si>
  <si>
    <t>主桁本数</t>
  </si>
  <si>
    <t>本</t>
  </si>
  <si>
    <t>桁高</t>
  </si>
  <si>
    <t>支承数</t>
  </si>
  <si>
    <t>個</t>
  </si>
  <si>
    <t>ジョイント数</t>
  </si>
  <si>
    <t>個/主桁</t>
  </si>
  <si>
    <t>→</t>
  </si>
  <si>
    <t>ﾌﾞﾛｯｸ</t>
  </si>
  <si>
    <t>×</t>
  </si>
  <si>
    <t>主桁</t>
  </si>
  <si>
    <t>＝</t>
  </si>
  <si>
    <t>ｔ</t>
  </si>
  <si>
    <t>ベント基数</t>
  </si>
  <si>
    <t>基</t>
  </si>
  <si>
    <t>最大ベント高さ</t>
  </si>
  <si>
    <t>２．対象鋼重</t>
  </si>
  <si>
    <t>比率(%)</t>
  </si>
  <si>
    <t>数　　量</t>
  </si>
  <si>
    <t>備　　　考</t>
  </si>
  <si>
    <t>①</t>
  </si>
  <si>
    <t>t</t>
  </si>
  <si>
    <t>1ブロック主桁質量</t>
  </si>
  <si>
    <t>②</t>
  </si>
  <si>
    <t>対傾構（横桁）</t>
  </si>
  <si>
    <t>地組桁1本当り質量</t>
  </si>
  <si>
    <t>③</t>
  </si>
  <si>
    <t>横　　構</t>
  </si>
  <si>
    <t>主桁1m当り質量</t>
  </si>
  <si>
    <t>ボルト</t>
  </si>
  <si>
    <t>支承</t>
  </si>
  <si>
    <t>落橋防止</t>
  </si>
  <si>
    <t>組</t>
  </si>
  <si>
    <t>３．高力ボルト本数</t>
  </si>
  <si>
    <t>Ｑ＝</t>
  </si>
  <si>
    <t>t÷(</t>
  </si>
  <si>
    <t>kg/本</t>
  </si>
  <si>
    <t>÷1000</t>
  </si>
  <si>
    <t xml:space="preserve">) = </t>
  </si>
  <si>
    <t>４．足場工</t>
  </si>
  <si>
    <t>パイプ吊り足場（架設単独使用）</t>
  </si>
  <si>
    <t>５．立地条件、ベント高</t>
  </si>
  <si>
    <t>工事用地内の作業とする。</t>
  </si>
  <si>
    <t>ベント</t>
  </si>
  <si>
    <t>Ｂ１</t>
  </si>
  <si>
    <t>Ｂ２</t>
  </si>
  <si>
    <t>Ｂ３</t>
  </si>
  <si>
    <t>Ｂ４</t>
  </si>
  <si>
    <t>Ｂ５</t>
  </si>
  <si>
    <t>Ｂ６</t>
  </si>
  <si>
    <t>Ｂ７</t>
  </si>
  <si>
    <t>Ｂ８</t>
  </si>
  <si>
    <t>Ｂ９</t>
  </si>
  <si>
    <t>Ｂ１０</t>
  </si>
  <si>
    <t>Ｂ１１</t>
  </si>
  <si>
    <t>Ｂ１２</t>
  </si>
  <si>
    <t>Ｂ１３</t>
  </si>
  <si>
    <t>Ｂ１４</t>
  </si>
  <si>
    <t>Ｂ１５</t>
  </si>
  <si>
    <t>Ｂ１６</t>
  </si>
  <si>
    <t>Ｂ１７</t>
  </si>
  <si>
    <t>Ｂ１８</t>
  </si>
  <si>
    <t>Ｂ１９</t>
  </si>
  <si>
    <t>Ｂ２０</t>
  </si>
  <si>
    <t>Ｂ２１</t>
  </si>
  <si>
    <t>Ｂ２２</t>
  </si>
  <si>
    <t>Ｂ２３</t>
  </si>
  <si>
    <t>Ｂ２４</t>
  </si>
  <si>
    <t>Ｂ２５</t>
  </si>
  <si>
    <t>Ｂ２６</t>
  </si>
  <si>
    <t>Ｂ２７</t>
  </si>
  <si>
    <t>Ｂ２８</t>
  </si>
  <si>
    <t>Ｂ２９</t>
  </si>
  <si>
    <t>Ｂ３０</t>
  </si>
  <si>
    <t>６．継手部現場塗装</t>
  </si>
  <si>
    <t>継手部塗装面積</t>
  </si>
  <si>
    <t>Ａ＝</t>
  </si>
  <si>
    <t>枚 ×</t>
  </si>
  <si>
    <t>＋</t>
  </si>
  <si>
    <t>注）</t>
  </si>
  <si>
    <t>７．所要日数の集計</t>
  </si>
  <si>
    <t>工　　　種</t>
  </si>
  <si>
    <t>記号</t>
  </si>
  <si>
    <t>ベント基礎工</t>
  </si>
  <si>
    <t>Ａ</t>
  </si>
  <si>
    <t>ベント設備工</t>
  </si>
  <si>
    <t>Ｂ</t>
  </si>
  <si>
    <t>地組立工</t>
  </si>
  <si>
    <t>Ｃ</t>
  </si>
  <si>
    <t>桁架設工</t>
  </si>
  <si>
    <t>Ｄ</t>
  </si>
  <si>
    <t>支承据付工</t>
  </si>
  <si>
    <t>Ｅ</t>
  </si>
  <si>
    <t>高力ボルト本締工</t>
  </si>
  <si>
    <t>Ｆ</t>
  </si>
  <si>
    <t>落橋防止装置</t>
  </si>
  <si>
    <t>Ｇ</t>
  </si>
  <si>
    <t>足場工</t>
  </si>
  <si>
    <t>架設用足場</t>
  </si>
  <si>
    <t>Ｈ</t>
  </si>
  <si>
    <t>登り桟橋</t>
  </si>
  <si>
    <t>Ｉ</t>
  </si>
  <si>
    <t>現場継手部塗装工</t>
  </si>
  <si>
    <t>Ｊ</t>
  </si>
  <si>
    <t>合　　　計</t>
  </si>
  <si>
    <t>８．架設機材の供用日数</t>
  </si>
  <si>
    <t>(1)　ベント基礎、ベント設備</t>
  </si>
  <si>
    <t>｛Ａ＋Ｂ＋Ｃ＋Ｄ＋Ｅ＋Ｆ｝×1.7</t>
  </si>
  <si>
    <t>＝（</t>
  </si>
  <si>
    <t>）×</t>
  </si>
  <si>
    <t>日</t>
  </si>
  <si>
    <t>｛Ｃ＋Ｄ＋Ｅ＋Ｆ｝×1.7</t>
  </si>
  <si>
    <t>(3)　足場工</t>
  </si>
  <si>
    <t>　1)　主体足場、中段足場、安全足場、部分作業床</t>
  </si>
  <si>
    <t>｛Ｃ＋Ｄ＋Ｅ＋Ｆ＋Ｇ＋Ｈ＋Ｊ｝×1.7／30</t>
  </si>
  <si>
    <t>／</t>
  </si>
  <si>
    <t>ヶ月</t>
  </si>
  <si>
    <t>　2)　登り桟橋</t>
  </si>
  <si>
    <t>｛Ａ＋Ｂ＋Ｃ＋Ｄ＋Ｅ＋Ｆ＋Ｇ＋Ｈ＋Ｉ＋Ｊ｝×1.7／30</t>
  </si>
  <si>
    <t>｛Ｃ＋Ｄ｝×1.7</t>
  </si>
  <si>
    <t>橋長 Ｌ=</t>
    <phoneticPr fontId="2"/>
  </si>
  <si>
    <t>ｍ</t>
    <phoneticPr fontId="2"/>
  </si>
  <si>
    <t>有効幅員</t>
    <rPh sb="0" eb="4">
      <t>ユウコウフクイン</t>
    </rPh>
    <phoneticPr fontId="2"/>
  </si>
  <si>
    <t>外桁間距離</t>
    <phoneticPr fontId="2"/>
  </si>
  <si>
    <t>主桁フランジ幅</t>
    <rPh sb="0" eb="1">
      <t>シュ</t>
    </rPh>
    <rPh sb="1" eb="2">
      <t>ケタ</t>
    </rPh>
    <rPh sb="6" eb="7">
      <t>ハバ</t>
    </rPh>
    <phoneticPr fontId="2"/>
  </si>
  <si>
    <t>→</t>
    <phoneticPr fontId="2"/>
  </si>
  <si>
    <t>個（全橋）</t>
    <rPh sb="2" eb="3">
      <t>ゼン</t>
    </rPh>
    <rPh sb="3" eb="4">
      <t>キョウ</t>
    </rPh>
    <phoneticPr fontId="2"/>
  </si>
  <si>
    <t>単ﾌﾞﾛｯｸ架設部材数</t>
    <rPh sb="0" eb="1">
      <t>タン</t>
    </rPh>
    <rPh sb="6" eb="8">
      <t>カセツ</t>
    </rPh>
    <rPh sb="8" eb="10">
      <t>ブザイ</t>
    </rPh>
    <phoneticPr fontId="2"/>
  </si>
  <si>
    <t>＝</t>
    <phoneticPr fontId="2"/>
  </si>
  <si>
    <t>部材</t>
    <rPh sb="0" eb="2">
      <t>ブザイ</t>
    </rPh>
    <phoneticPr fontId="2"/>
  </si>
  <si>
    <t>地組ﾌﾞﾛｯｸ架設部材数</t>
    <rPh sb="7" eb="9">
      <t>カセツ</t>
    </rPh>
    <rPh sb="9" eb="11">
      <t>ブザイ</t>
    </rPh>
    <phoneticPr fontId="2"/>
  </si>
  <si>
    <t>単ﾌﾞﾛｯｸ最大部材長</t>
    <rPh sb="0" eb="1">
      <t>タン</t>
    </rPh>
    <phoneticPr fontId="2"/>
  </si>
  <si>
    <t>ｍ</t>
    <phoneticPr fontId="2"/>
  </si>
  <si>
    <t>地組最大部材長</t>
    <rPh sb="0" eb="1">
      <t>ジ</t>
    </rPh>
    <rPh sb="1" eb="2">
      <t>グミ</t>
    </rPh>
    <rPh sb="2" eb="4">
      <t>サイダイ</t>
    </rPh>
    <rPh sb="4" eb="6">
      <t>ブザイ</t>
    </rPh>
    <rPh sb="6" eb="7">
      <t>チョウ</t>
    </rPh>
    <phoneticPr fontId="2"/>
  </si>
  <si>
    <t>ｍ</t>
    <phoneticPr fontId="2"/>
  </si>
  <si>
    <t>地組部材総延長</t>
    <rPh sb="0" eb="1">
      <t>ジ</t>
    </rPh>
    <rPh sb="1" eb="2">
      <t>グミ</t>
    </rPh>
    <rPh sb="2" eb="4">
      <t>ブザイ</t>
    </rPh>
    <rPh sb="4" eb="7">
      <t>ソウエンチョウ</t>
    </rPh>
    <phoneticPr fontId="2"/>
  </si>
  <si>
    <t>地組部材総質量</t>
    <rPh sb="0" eb="1">
      <t>ジ</t>
    </rPh>
    <rPh sb="1" eb="2">
      <t>グ</t>
    </rPh>
    <rPh sb="2" eb="4">
      <t>ブザイ</t>
    </rPh>
    <rPh sb="4" eb="5">
      <t>ソウ</t>
    </rPh>
    <rPh sb="5" eb="7">
      <t>シツリョウ</t>
    </rPh>
    <phoneticPr fontId="2"/>
  </si>
  <si>
    <t>ｔ</t>
    <phoneticPr fontId="2"/>
  </si>
  <si>
    <t>（１主桁当たり）</t>
    <rPh sb="2" eb="3">
      <t>シュ</t>
    </rPh>
    <rPh sb="3" eb="4">
      <t>ケタ</t>
    </rPh>
    <rPh sb="4" eb="5">
      <t>ア</t>
    </rPh>
    <phoneticPr fontId="2"/>
  </si>
  <si>
    <t>（全橋）</t>
    <rPh sb="1" eb="2">
      <t>ゼン</t>
    </rPh>
    <rPh sb="2" eb="3">
      <t>キョウ</t>
    </rPh>
    <phoneticPr fontId="2"/>
  </si>
  <si>
    <r>
      <t>1m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当たり鋼重</t>
    </r>
    <phoneticPr fontId="2"/>
  </si>
  <si>
    <r>
      <t>kg/m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</si>
  <si>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t>主　　桁</t>
    <phoneticPr fontId="2"/>
  </si>
  <si>
    <t>架設ﾌﾞﾛｯｸ数</t>
    <rPh sb="0" eb="2">
      <t>カセツ</t>
    </rPh>
    <phoneticPr fontId="2"/>
  </si>
  <si>
    <t>④</t>
    <phoneticPr fontId="2"/>
  </si>
  <si>
    <t>橋体総質量①＋②＋③＋④＝</t>
    <phoneticPr fontId="2"/>
  </si>
  <si>
    <t>Ｑ＝</t>
    <phoneticPr fontId="2"/>
  </si>
  <si>
    <t>（Ｍ２２ Ｌ＝１００）</t>
    <phoneticPr fontId="2"/>
  </si>
  <si>
    <t>高さ(ｍ)</t>
    <phoneticPr fontId="2"/>
  </si>
  <si>
    <t>（長さ）</t>
    <rPh sb="1" eb="2">
      <t>ナガ</t>
    </rPh>
    <phoneticPr fontId="2"/>
  </si>
  <si>
    <t>（高さ）</t>
    <rPh sb="1" eb="2">
      <t>タカ</t>
    </rPh>
    <phoneticPr fontId="2"/>
  </si>
  <si>
    <t>（両面）</t>
    <rPh sb="1" eb="3">
      <t>リョウメン</t>
    </rPh>
    <phoneticPr fontId="2"/>
  </si>
  <si>
    <t>（箇所）</t>
    <rPh sb="1" eb="3">
      <t>カショ</t>
    </rPh>
    <phoneticPr fontId="2"/>
  </si>
  <si>
    <t>（幅）</t>
    <rPh sb="1" eb="2">
      <t>ハバ</t>
    </rPh>
    <phoneticPr fontId="2"/>
  </si>
  <si>
    <t>（上下両面）</t>
    <rPh sb="1" eb="3">
      <t>ジョウゲ</t>
    </rPh>
    <rPh sb="3" eb="5">
      <t>リョウメン</t>
    </rPh>
    <phoneticPr fontId="2"/>
  </si>
  <si>
    <t>Ａ＝</t>
    <phoneticPr fontId="2"/>
  </si>
  <si>
    <t>＋</t>
    <phoneticPr fontId="6"/>
  </si>
  <si>
    <r>
      <t>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</si>
  <si>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t>→</t>
    <phoneticPr fontId="2"/>
  </si>
  <si>
    <t>×</t>
    <phoneticPr fontId="2"/>
  </si>
  <si>
    <r>
      <t>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</si>
  <si>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t>（横桁分など２０％考慮）</t>
    <rPh sb="1" eb="2">
      <t>ヨコ</t>
    </rPh>
    <rPh sb="2" eb="3">
      <t>ケタ</t>
    </rPh>
    <rPh sb="3" eb="4">
      <t>ブン</t>
    </rPh>
    <rPh sb="9" eb="11">
      <t>コウリョ</t>
    </rPh>
    <phoneticPr fontId="2"/>
  </si>
  <si>
    <t>１．ウェブ添接幅は４本ボルト配置で、</t>
    <phoneticPr fontId="2"/>
  </si>
  <si>
    <t>２×７５（ピッチ）＋１２０（中心）＋８０（縁端）＝３５０とする。</t>
    <rPh sb="14" eb="16">
      <t>チュウシン</t>
    </rPh>
    <phoneticPr fontId="2"/>
  </si>
  <si>
    <t>２．フランジ添接板は８本ボルト配置で、</t>
    <phoneticPr fontId="2"/>
  </si>
  <si>
    <t>６×７５（ピッチ）＋１２０（中心）＋８０（縁端）＝６５０とする。</t>
    <rPh sb="14" eb="16">
      <t>チュウシン</t>
    </rPh>
    <rPh sb="21" eb="22">
      <t>エン</t>
    </rPh>
    <rPh sb="22" eb="23">
      <t>タン</t>
    </rPh>
    <phoneticPr fontId="2"/>
  </si>
  <si>
    <t>所要日数(日)</t>
    <rPh sb="5" eb="6">
      <t>ニチ</t>
    </rPh>
    <phoneticPr fontId="2"/>
  </si>
  <si>
    <t>地組溶接用架台</t>
    <rPh sb="2" eb="5">
      <t>ヨウセツヨウ</t>
    </rPh>
    <rPh sb="5" eb="7">
      <t>カダイ</t>
    </rPh>
    <phoneticPr fontId="2"/>
  </si>
  <si>
    <t>継手部現場溶接工</t>
    <rPh sb="0" eb="1">
      <t>ツギ</t>
    </rPh>
    <rPh sb="1" eb="2">
      <t>テ</t>
    </rPh>
    <rPh sb="2" eb="3">
      <t>ブ</t>
    </rPh>
    <rPh sb="3" eb="5">
      <t>ゲンバ</t>
    </rPh>
    <rPh sb="5" eb="7">
      <t>ヨウセツ</t>
    </rPh>
    <rPh sb="7" eb="8">
      <t>コウ</t>
    </rPh>
    <phoneticPr fontId="2"/>
  </si>
  <si>
    <t>溶接用ケーシング設置工</t>
    <rPh sb="0" eb="3">
      <t>ヨウセツヨウ</t>
    </rPh>
    <rPh sb="8" eb="10">
      <t>セッチ</t>
    </rPh>
    <rPh sb="10" eb="11">
      <t>コウ</t>
    </rPh>
    <phoneticPr fontId="2"/>
  </si>
  <si>
    <t>合成床版架設工</t>
    <rPh sb="0" eb="2">
      <t>ゴウセイ</t>
    </rPh>
    <rPh sb="2" eb="4">
      <t>ショウバン</t>
    </rPh>
    <rPh sb="4" eb="6">
      <t>カセツ</t>
    </rPh>
    <rPh sb="6" eb="7">
      <t>コウ</t>
    </rPh>
    <phoneticPr fontId="2"/>
  </si>
  <si>
    <t>(2)　ドリフトピン・仮締めボルト</t>
    <phoneticPr fontId="2"/>
  </si>
  <si>
    <t>(4)　地組溶接用架台</t>
    <rPh sb="4" eb="5">
      <t>ジ</t>
    </rPh>
    <rPh sb="5" eb="6">
      <t>グ</t>
    </rPh>
    <rPh sb="6" eb="9">
      <t>ヨウセツヨウ</t>
    </rPh>
    <rPh sb="9" eb="11">
      <t>カダイ</t>
    </rPh>
    <phoneticPr fontId="2"/>
  </si>
  <si>
    <t>(5)　現場溶接用使用機械器具</t>
    <rPh sb="4" eb="6">
      <t>ゲンバ</t>
    </rPh>
    <rPh sb="6" eb="9">
      <t>ヨウセツヨウ</t>
    </rPh>
    <rPh sb="9" eb="11">
      <t>シヨウ</t>
    </rPh>
    <rPh sb="11" eb="13">
      <t>キカイ</t>
    </rPh>
    <rPh sb="13" eb="15">
      <t>キグ</t>
    </rPh>
    <phoneticPr fontId="2"/>
  </si>
  <si>
    <t>＝</t>
    <phoneticPr fontId="2"/>
  </si>
  <si>
    <t>×</t>
    <phoneticPr fontId="2"/>
  </si>
  <si>
    <t>(6)　溶接用ケーシング設備</t>
    <rPh sb="4" eb="7">
      <t>ヨウセツヨウ</t>
    </rPh>
    <rPh sb="12" eb="14">
      <t>セツビ</t>
    </rPh>
    <phoneticPr fontId="2"/>
  </si>
  <si>
    <t>９．所要日数内訳</t>
  </si>
  <si>
    <t>①　ベント基礎工</t>
  </si>
  <si>
    <t>Ａ＝</t>
    <phoneticPr fontId="2"/>
  </si>
  <si>
    <t>ΣＡi</t>
    <phoneticPr fontId="2"/>
  </si>
  <si>
    <t>Ａi＝</t>
    <phoneticPr fontId="2"/>
  </si>
  <si>
    <t>（Ｂ＋2.0）×3</t>
    <phoneticPr fontId="2"/>
  </si>
  <si>
    <t>…式①</t>
    <rPh sb="1" eb="2">
      <t>シキ</t>
    </rPh>
    <phoneticPr fontId="2"/>
  </si>
  <si>
    <t>Ａ：</t>
  </si>
  <si>
    <r>
      <t>ベント基礎の延面積（ｍ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）</t>
    </r>
    <phoneticPr fontId="2"/>
  </si>
  <si>
    <t>Ｂ：</t>
  </si>
  <si>
    <t>構造幅（ｍ）</t>
    <rPh sb="0" eb="2">
      <t>コウゾウ</t>
    </rPh>
    <rPh sb="2" eb="3">
      <t>ハバ</t>
    </rPh>
    <phoneticPr fontId="2"/>
  </si>
  <si>
    <t>高さ（ｍ）</t>
    <rPh sb="0" eb="1">
      <t>タカ</t>
    </rPh>
    <phoneticPr fontId="2"/>
  </si>
  <si>
    <t>式</t>
    <rPh sb="0" eb="1">
      <t>シキ</t>
    </rPh>
    <phoneticPr fontId="2"/>
  </si>
  <si>
    <r>
      <t>面積（ｍ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）</t>
    </r>
    <rPh sb="0" eb="2">
      <t>メンセキ</t>
    </rPh>
    <phoneticPr fontId="2"/>
  </si>
  <si>
    <t>Ｂ１</t>
    <phoneticPr fontId="2"/>
  </si>
  <si>
    <t>①</t>
    <phoneticPr fontId="2"/>
  </si>
  <si>
    <t>①</t>
    <phoneticPr fontId="2"/>
  </si>
  <si>
    <t>①</t>
    <phoneticPr fontId="2"/>
  </si>
  <si>
    <t>計</t>
    <rPh sb="0" eb="1">
      <t>ケイ</t>
    </rPh>
    <phoneticPr fontId="2"/>
  </si>
  <si>
    <t>・日当り施工量</t>
  </si>
  <si>
    <t>Ｄa＝</t>
    <phoneticPr fontId="2"/>
  </si>
  <si>
    <t>Ａ／（0.011Ａ＋0.55）</t>
    <phoneticPr fontId="2"/>
  </si>
  <si>
    <t>／（</t>
    <phoneticPr fontId="2"/>
  </si>
  <si>
    <t>×</t>
    <phoneticPr fontId="2"/>
  </si>
  <si>
    <t>＋</t>
    <phoneticPr fontId="2"/>
  </si>
  <si>
    <t>）</t>
    <phoneticPr fontId="2"/>
  </si>
  <si>
    <t>＝</t>
    <phoneticPr fontId="2"/>
  </si>
  <si>
    <r>
      <t>ｍ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/日</t>
    </r>
    <rPh sb="3" eb="4">
      <t>ニチ</t>
    </rPh>
    <phoneticPr fontId="2"/>
  </si>
  <si>
    <t>・所要日数</t>
  </si>
  <si>
    <t>Ａ／Ｄa</t>
    <phoneticPr fontId="2"/>
  </si>
  <si>
    <t>／</t>
    <phoneticPr fontId="2"/>
  </si>
  <si>
    <t>日</t>
    <rPh sb="0" eb="1">
      <t>ニチ</t>
    </rPh>
    <phoneticPr fontId="2"/>
  </si>
  <si>
    <t>②　ベント設備工</t>
  </si>
  <si>
    <t>Ｔ＝</t>
    <phoneticPr fontId="2"/>
  </si>
  <si>
    <t>ΣＷi</t>
    <phoneticPr fontId="2"/>
  </si>
  <si>
    <t>Ｗi＝</t>
    <phoneticPr fontId="2"/>
  </si>
  <si>
    <t>0.372×（Ｂ＋1.5）＋｛4.737×ｎ＋0.372×（Ｂ＋1.5）｝×ｈ／10</t>
  </si>
  <si>
    <t>（h＜10m） … 式①</t>
    <rPh sb="10" eb="11">
      <t>シキ</t>
    </rPh>
    <phoneticPr fontId="2"/>
  </si>
  <si>
    <t>0.39×ｎ×ｈ＋0.744×（Ｂ＋1.5）＋0.837×ｎ</t>
  </si>
  <si>
    <t>（10m≦h≦30m） … 式②</t>
    <rPh sb="14" eb="15">
      <t>シキ</t>
    </rPh>
    <phoneticPr fontId="2"/>
  </si>
  <si>
    <t>Ｔ：</t>
    <phoneticPr fontId="2"/>
  </si>
  <si>
    <t>ベントの総質量（ｔ）</t>
    <rPh sb="4" eb="5">
      <t>ソウ</t>
    </rPh>
    <rPh sb="5" eb="7">
      <t>シツリョウ</t>
    </rPh>
    <phoneticPr fontId="2"/>
  </si>
  <si>
    <t>ｎ：</t>
    <phoneticPr fontId="2"/>
  </si>
  <si>
    <t>１基当りのベント柱本数（本）</t>
    <rPh sb="1" eb="2">
      <t>キ</t>
    </rPh>
    <rPh sb="2" eb="3">
      <t>アタ</t>
    </rPh>
    <rPh sb="8" eb="9">
      <t>ハシラ</t>
    </rPh>
    <rPh sb="9" eb="11">
      <t>ホンスウ</t>
    </rPh>
    <rPh sb="12" eb="13">
      <t>ホン</t>
    </rPh>
    <phoneticPr fontId="2"/>
  </si>
  <si>
    <t>ｈ：</t>
    <phoneticPr fontId="2"/>
  </si>
  <si>
    <t>ベント高さ（ｍ）</t>
    <rPh sb="3" eb="4">
      <t>タカ</t>
    </rPh>
    <phoneticPr fontId="2"/>
  </si>
  <si>
    <t>Ｂ：</t>
    <phoneticPr fontId="2"/>
  </si>
  <si>
    <t>柱本数（本）</t>
    <rPh sb="0" eb="1">
      <t>ハシラ</t>
    </rPh>
    <rPh sb="1" eb="3">
      <t>ホンスウ</t>
    </rPh>
    <rPh sb="4" eb="5">
      <t>ホン</t>
    </rPh>
    <phoneticPr fontId="1"/>
  </si>
  <si>
    <t>高さ（ｍ）</t>
  </si>
  <si>
    <t>構造幅（ｍ）</t>
    <rPh sb="0" eb="2">
      <t>コウゾウ</t>
    </rPh>
    <rPh sb="2" eb="3">
      <t>ハバ</t>
    </rPh>
    <phoneticPr fontId="1"/>
  </si>
  <si>
    <t>式</t>
  </si>
  <si>
    <t>質量（ｔ）</t>
    <rPh sb="0" eb="2">
      <t>シツリョウ</t>
    </rPh>
    <phoneticPr fontId="2"/>
  </si>
  <si>
    <t>計</t>
  </si>
  <si>
    <t>Ｄt＝</t>
    <phoneticPr fontId="2"/>
  </si>
  <si>
    <t>Ｔ／（0.13Ｔ＋1.6）</t>
    <phoneticPr fontId="2"/>
  </si>
  <si>
    <t>＝</t>
    <phoneticPr fontId="2"/>
  </si>
  <si>
    <t>／（</t>
    <phoneticPr fontId="2"/>
  </si>
  <si>
    <t>×</t>
    <phoneticPr fontId="2"/>
  </si>
  <si>
    <t>t/日</t>
    <rPh sb="2" eb="3">
      <t>ニチ</t>
    </rPh>
    <phoneticPr fontId="2"/>
  </si>
  <si>
    <t>Ｂ＝</t>
  </si>
  <si>
    <t>Ｔ／Ｄt</t>
    <phoneticPr fontId="2"/>
  </si>
  <si>
    <t>／</t>
    <phoneticPr fontId="2"/>
  </si>
  <si>
    <t>③　地組立工</t>
  </si>
  <si>
    <t>Ｇ＝</t>
    <phoneticPr fontId="2"/>
  </si>
  <si>
    <t>ｔ</t>
    <phoneticPr fontId="2"/>
  </si>
  <si>
    <t>Ｇ：</t>
    <phoneticPr fontId="2"/>
  </si>
  <si>
    <t>地組質量（ｔ）</t>
    <rPh sb="0" eb="1">
      <t>ジ</t>
    </rPh>
    <rPh sb="1" eb="2">
      <t>グミ</t>
    </rPh>
    <rPh sb="2" eb="4">
      <t>シツリョウ</t>
    </rPh>
    <phoneticPr fontId="2"/>
  </si>
  <si>
    <t>・日当たり施工量</t>
  </si>
  <si>
    <t>Ｄg＝</t>
    <phoneticPr fontId="2"/>
  </si>
  <si>
    <t>Ｇ／｛0.026×（Ｇ＋77）｝</t>
    <phoneticPr fontId="2"/>
  </si>
  <si>
    <t>／｛</t>
    <phoneticPr fontId="2"/>
  </si>
  <si>
    <t>×（</t>
    <phoneticPr fontId="2"/>
  </si>
  <si>
    <t>）｝</t>
    <phoneticPr fontId="2"/>
  </si>
  <si>
    <t>Ｃ＝</t>
  </si>
  <si>
    <t>Ｇ／Ｄg</t>
    <phoneticPr fontId="2"/>
  </si>
  <si>
    <t>④　地組溶接架台設備工</t>
  </si>
  <si>
    <t>１ｍのベント鋼板基礎</t>
    <rPh sb="6" eb="8">
      <t>コウハン</t>
    </rPh>
    <rPh sb="8" eb="10">
      <t>キソ</t>
    </rPh>
    <phoneticPr fontId="2"/>
  </si>
  <si>
    <t>セット</t>
    <phoneticPr fontId="2"/>
  </si>
  <si>
    <t>・地組溶接用架台１セット質量</t>
    <rPh sb="1" eb="2">
      <t>ジ</t>
    </rPh>
    <rPh sb="2" eb="3">
      <t>グ</t>
    </rPh>
    <rPh sb="3" eb="5">
      <t>ヨウセツ</t>
    </rPh>
    <rPh sb="5" eb="6">
      <t>ヨウ</t>
    </rPh>
    <rPh sb="6" eb="8">
      <t>カダイ</t>
    </rPh>
    <rPh sb="12" eb="14">
      <t>シツリョウ</t>
    </rPh>
    <phoneticPr fontId="2"/>
  </si>
  <si>
    <t>Ｗi＝</t>
    <phoneticPr fontId="2"/>
  </si>
  <si>
    <t>1.43×Ｎ＋1.62</t>
    <phoneticPr fontId="2"/>
  </si>
  <si>
    <t>（Ｎ：地組桁１本当たりの現場溶接継手数＝１）</t>
    <rPh sb="3" eb="4">
      <t>ジ</t>
    </rPh>
    <rPh sb="4" eb="5">
      <t>グ</t>
    </rPh>
    <rPh sb="5" eb="6">
      <t>ケタ</t>
    </rPh>
    <rPh sb="7" eb="8">
      <t>ホン</t>
    </rPh>
    <rPh sb="8" eb="9">
      <t>ア</t>
    </rPh>
    <rPh sb="12" eb="14">
      <t>ゲンバ</t>
    </rPh>
    <rPh sb="14" eb="16">
      <t>ヨウセツ</t>
    </rPh>
    <rPh sb="16" eb="17">
      <t>ツギ</t>
    </rPh>
    <rPh sb="17" eb="18">
      <t>テ</t>
    </rPh>
    <rPh sb="18" eb="19">
      <t>スウ</t>
    </rPh>
    <phoneticPr fontId="2"/>
  </si>
  <si>
    <t>＋</t>
    <phoneticPr fontId="2"/>
  </si>
  <si>
    <t>ｔ/セット</t>
    <phoneticPr fontId="2"/>
  </si>
  <si>
    <t>搬入質量</t>
    <rPh sb="0" eb="2">
      <t>ハンニュウ</t>
    </rPh>
    <rPh sb="2" eb="4">
      <t>シツリョウ</t>
    </rPh>
    <phoneticPr fontId="2"/>
  </si>
  <si>
    <t>Ｔ1＝</t>
    <phoneticPr fontId="2"/>
  </si>
  <si>
    <t>盛替質量</t>
    <rPh sb="0" eb="1">
      <t>モリ</t>
    </rPh>
    <rPh sb="1" eb="2">
      <t>カ</t>
    </rPh>
    <rPh sb="2" eb="4">
      <t>シツリョウ</t>
    </rPh>
    <phoneticPr fontId="2"/>
  </si>
  <si>
    <t>Ｔ2＝</t>
    <phoneticPr fontId="2"/>
  </si>
  <si>
    <t>・設置撤去の日当たり施工量</t>
    <rPh sb="1" eb="3">
      <t>セッチ</t>
    </rPh>
    <rPh sb="3" eb="5">
      <t>テッキョ</t>
    </rPh>
    <rPh sb="6" eb="8">
      <t>ヒア</t>
    </rPh>
    <rPh sb="10" eb="12">
      <t>セコウ</t>
    </rPh>
    <rPh sb="12" eb="13">
      <t>リョウ</t>
    </rPh>
    <phoneticPr fontId="2"/>
  </si>
  <si>
    <t>Ｄt1＝</t>
  </si>
  <si>
    <t>Ｔ1／（0.13×Ｔ1＋1.6）</t>
    <phoneticPr fontId="2"/>
  </si>
  <si>
    <t>＝</t>
    <phoneticPr fontId="2"/>
  </si>
  <si>
    <t>・設置撤去の所要日数</t>
    <rPh sb="1" eb="3">
      <t>セッチ</t>
    </rPh>
    <rPh sb="3" eb="5">
      <t>テッキョ</t>
    </rPh>
    <rPh sb="6" eb="8">
      <t>ショヨウ</t>
    </rPh>
    <rPh sb="8" eb="10">
      <t>ニッスウ</t>
    </rPh>
    <phoneticPr fontId="2"/>
  </si>
  <si>
    <t>Ｄ1＝</t>
  </si>
  <si>
    <t>Ｔ1／Ｄt1</t>
  </si>
  <si>
    <t>・盛替の日当たり施工量</t>
    <rPh sb="1" eb="2">
      <t>モリ</t>
    </rPh>
    <rPh sb="2" eb="3">
      <t>カ</t>
    </rPh>
    <rPh sb="4" eb="6">
      <t>ヒア</t>
    </rPh>
    <rPh sb="8" eb="10">
      <t>セコウ</t>
    </rPh>
    <rPh sb="10" eb="11">
      <t>リョウ</t>
    </rPh>
    <phoneticPr fontId="2"/>
  </si>
  <si>
    <t>Ｄt2＝</t>
  </si>
  <si>
    <t>2.0×Ｔ2／（0.13×Ｔ2＋1.6）</t>
    <phoneticPr fontId="2"/>
  </si>
  <si>
    <t>×</t>
    <phoneticPr fontId="2"/>
  </si>
  <si>
    <t>）</t>
    <phoneticPr fontId="2"/>
  </si>
  <si>
    <t>・盛替の所要日数</t>
    <rPh sb="1" eb="2">
      <t>モリ</t>
    </rPh>
    <rPh sb="2" eb="3">
      <t>カ</t>
    </rPh>
    <rPh sb="4" eb="6">
      <t>ショヨウ</t>
    </rPh>
    <rPh sb="6" eb="8">
      <t>ニッスウ</t>
    </rPh>
    <phoneticPr fontId="2"/>
  </si>
  <si>
    <t>Ｄ2＝</t>
  </si>
  <si>
    <t>Ｔ2／Ｄt2</t>
  </si>
  <si>
    <t>／</t>
    <phoneticPr fontId="2"/>
  </si>
  <si>
    <t>・所要日数</t>
    <rPh sb="1" eb="3">
      <t>ショヨウ</t>
    </rPh>
    <rPh sb="3" eb="5">
      <t>ニッスウ</t>
    </rPh>
    <phoneticPr fontId="2"/>
  </si>
  <si>
    <t>Ｄ＝</t>
  </si>
  <si>
    <t>Ｄ1＋Ｄ2</t>
  </si>
  <si>
    <t>④　桁架設工</t>
  </si>
  <si>
    <t>・主桁架設回数</t>
    <phoneticPr fontId="2"/>
  </si>
  <si>
    <t>ｎ＝</t>
  </si>
  <si>
    <t>回</t>
  </si>
  <si>
    <t>・橋体総質量</t>
  </si>
  <si>
    <t>Ｗ＝</t>
  </si>
  <si>
    <t>・主桁質量</t>
  </si>
  <si>
    <t>・一部材当り質量</t>
    <phoneticPr fontId="2"/>
  </si>
  <si>
    <t>ｔ</t>
    <phoneticPr fontId="2"/>
  </si>
  <si>
    <r>
      <t>a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＝</t>
    </r>
    <phoneticPr fontId="2"/>
  </si>
  <si>
    <t>・一日当たりの架設質量</t>
  </si>
  <si>
    <t>Ｄw＝</t>
    <phoneticPr fontId="2"/>
  </si>
  <si>
    <r>
      <t>Ｗ／｛0.24a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（ｎ＋12）｝</t>
    </r>
    <phoneticPr fontId="2"/>
  </si>
  <si>
    <t>ただし</t>
    <phoneticPr fontId="2"/>
  </si>
  <si>
    <t>≦</t>
    <phoneticPr fontId="2"/>
  </si>
  <si>
    <t>Ｄw</t>
  </si>
  <si>
    <t>）｝</t>
    <phoneticPr fontId="2"/>
  </si>
  <si>
    <t>t/日</t>
    <phoneticPr fontId="2"/>
  </si>
  <si>
    <t>Ｗ／Ｄw</t>
    <phoneticPr fontId="2"/>
  </si>
  <si>
    <t>⑤　現場継手部溶接工</t>
  </si>
  <si>
    <t>・全溶接長</t>
    <rPh sb="1" eb="2">
      <t>ゼン</t>
    </rPh>
    <rPh sb="2" eb="4">
      <t>ヨウセツ</t>
    </rPh>
    <rPh sb="4" eb="5">
      <t>チョウ</t>
    </rPh>
    <phoneticPr fontId="2"/>
  </si>
  <si>
    <t>Ｌw＝</t>
    <phoneticPr fontId="2"/>
  </si>
  <si>
    <t>（上フランジ幅＋下フランジ幅）×ジョイント数</t>
  </si>
  <si>
    <t>＝（</t>
    <phoneticPr fontId="2"/>
  </si>
  <si>
    <r>
      <t>α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＝</t>
    </r>
    <phoneticPr fontId="2"/>
  </si>
  <si>
    <t>Ｌw^0.1221</t>
    <phoneticPr fontId="2"/>
  </si>
  <si>
    <t>（溶接実延長による係数)</t>
    <rPh sb="1" eb="3">
      <t>ヨウセツ</t>
    </rPh>
    <rPh sb="3" eb="4">
      <t>ジツ</t>
    </rPh>
    <rPh sb="4" eb="6">
      <t>エンチョウ</t>
    </rPh>
    <rPh sb="9" eb="11">
      <t>ケイスウ</t>
    </rPh>
    <phoneticPr fontId="2"/>
  </si>
  <si>
    <t>・現場溶接継手数</t>
    <rPh sb="1" eb="3">
      <t>ゲンバ</t>
    </rPh>
    <rPh sb="3" eb="5">
      <t>ヨウセツ</t>
    </rPh>
    <rPh sb="5" eb="6">
      <t>ツギ</t>
    </rPh>
    <rPh sb="6" eb="7">
      <t>テ</t>
    </rPh>
    <rPh sb="7" eb="8">
      <t>スウ</t>
    </rPh>
    <phoneticPr fontId="2"/>
  </si>
  <si>
    <t>Ｎ＝</t>
    <phoneticPr fontId="2"/>
  </si>
  <si>
    <t>・平均板厚</t>
    <rPh sb="1" eb="3">
      <t>ヘイキン</t>
    </rPh>
    <rPh sb="3" eb="4">
      <t>イタ</t>
    </rPh>
    <rPh sb="4" eb="5">
      <t>アツ</t>
    </rPh>
    <phoneticPr fontId="2"/>
  </si>
  <si>
    <t>溶接長（ｍｍ）</t>
    <rPh sb="0" eb="2">
      <t>ヨウセツ</t>
    </rPh>
    <rPh sb="2" eb="3">
      <t>チョウ</t>
    </rPh>
    <phoneticPr fontId="2"/>
  </si>
  <si>
    <t>板厚（ｍｍ）</t>
    <rPh sb="0" eb="1">
      <t>イタ</t>
    </rPh>
    <rPh sb="1" eb="2">
      <t>アツ</t>
    </rPh>
    <phoneticPr fontId="2"/>
  </si>
  <si>
    <t>上フランジ</t>
    <rPh sb="0" eb="1">
      <t>ウエ</t>
    </rPh>
    <phoneticPr fontId="2"/>
  </si>
  <si>
    <t>ウェブ</t>
    <phoneticPr fontId="2"/>
  </si>
  <si>
    <t>下フランジ</t>
    <rPh sb="0" eb="1">
      <t>シタ</t>
    </rPh>
    <phoneticPr fontId="2"/>
  </si>
  <si>
    <t>∴ｔ＝</t>
    <phoneticPr fontId="2"/>
  </si>
  <si>
    <t>ｍｍ</t>
    <phoneticPr fontId="2"/>
  </si>
  <si>
    <t>α3＝</t>
    <phoneticPr fontId="2"/>
  </si>
  <si>
    <t>213.8×t^-1.5809</t>
    <phoneticPr fontId="2"/>
  </si>
  <si>
    <t>（平均板厚による係数)</t>
    <rPh sb="1" eb="3">
      <t>ヘイキン</t>
    </rPh>
    <rPh sb="3" eb="4">
      <t>イタ</t>
    </rPh>
    <rPh sb="4" eb="5">
      <t>アツ</t>
    </rPh>
    <rPh sb="8" eb="10">
      <t>ケイスウ</t>
    </rPh>
    <phoneticPr fontId="2"/>
  </si>
  <si>
    <t>・日当たり施工量</t>
    <rPh sb="1" eb="3">
      <t>ヒア</t>
    </rPh>
    <rPh sb="5" eb="7">
      <t>セコウ</t>
    </rPh>
    <rPh sb="7" eb="8">
      <t>リョウ</t>
    </rPh>
    <phoneticPr fontId="2"/>
  </si>
  <si>
    <t>ｙ＝</t>
    <phoneticPr fontId="2"/>
  </si>
  <si>
    <r>
      <t>1.42×α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×α</t>
    </r>
    <r>
      <rPr>
        <vertAlign val="subscript"/>
        <sz val="10"/>
        <rFont val="ＭＳ ゴシック"/>
        <family val="3"/>
        <charset val="128"/>
      </rPr>
      <t>3</t>
    </r>
  </si>
  <si>
    <t>ｍ/日・P</t>
    <rPh sb="2" eb="3">
      <t>ニチ</t>
    </rPh>
    <phoneticPr fontId="2"/>
  </si>
  <si>
    <t>ｍ/日</t>
    <rPh sb="2" eb="3">
      <t>ニチ</t>
    </rPh>
    <phoneticPr fontId="2"/>
  </si>
  <si>
    <t>（</t>
    <phoneticPr fontId="2"/>
  </si>
  <si>
    <t>パーティー）</t>
    <phoneticPr fontId="2"/>
  </si>
  <si>
    <t>Ｅ＝</t>
  </si>
  <si>
    <t>Ｌw／ｙ</t>
    <phoneticPr fontId="2"/>
  </si>
  <si>
    <t>⑥　溶接用ケーシング設備工</t>
  </si>
  <si>
    <t>Ｄj＝</t>
    <phoneticPr fontId="2"/>
  </si>
  <si>
    <t>継手/日</t>
    <rPh sb="0" eb="1">
      <t>ツギ</t>
    </rPh>
    <rPh sb="1" eb="2">
      <t>テ</t>
    </rPh>
    <rPh sb="3" eb="4">
      <t>ニチ</t>
    </rPh>
    <phoneticPr fontId="2"/>
  </si>
  <si>
    <t>Ｆ＝</t>
    <phoneticPr fontId="2"/>
  </si>
  <si>
    <t>Ｎ／Ｄj</t>
    <phoneticPr fontId="2"/>
  </si>
  <si>
    <t>⑤　支承据付工</t>
  </si>
  <si>
    <t>・支承設置数</t>
  </si>
  <si>
    <t>Ｎ＝</t>
  </si>
  <si>
    <t>・１基当り支承質量</t>
    <rPh sb="2" eb="3">
      <t>キ</t>
    </rPh>
    <rPh sb="3" eb="4">
      <t>アタ</t>
    </rPh>
    <rPh sb="7" eb="9">
      <t>シツリョウ</t>
    </rPh>
    <phoneticPr fontId="2"/>
  </si>
  <si>
    <t>Ｄn＝</t>
    <phoneticPr fontId="2"/>
  </si>
  <si>
    <t>１／（0.082Ｗ＋0.324）</t>
  </si>
  <si>
    <t>基/日</t>
    <rPh sb="0" eb="1">
      <t>モト</t>
    </rPh>
    <rPh sb="2" eb="3">
      <t>ニチ</t>
    </rPh>
    <phoneticPr fontId="2"/>
  </si>
  <si>
    <t>Ｎ／Ｄn</t>
    <phoneticPr fontId="2"/>
  </si>
  <si>
    <t>⑥　高力ボルト本締工</t>
  </si>
  <si>
    <t>・ボルト総本数</t>
  </si>
  <si>
    <t>Ｄq＝</t>
    <phoneticPr fontId="2"/>
  </si>
  <si>
    <t>Ｑ／（0.41Ｑ／1000＋2.13）</t>
    <phoneticPr fontId="2"/>
  </si>
  <si>
    <t>／（</t>
    <phoneticPr fontId="2"/>
  </si>
  <si>
    <t>本／日</t>
  </si>
  <si>
    <t>本/日</t>
  </si>
  <si>
    <t>Ｆ＝</t>
  </si>
  <si>
    <t>Ｑ／Ｄq</t>
    <phoneticPr fontId="2"/>
  </si>
  <si>
    <t>⑦　落橋防止装置取付工</t>
  </si>
  <si>
    <t>・落橋防止装置</t>
  </si>
  <si>
    <t>Ｋ＝</t>
  </si>
  <si>
    <t>Ｄk＝</t>
    <phoneticPr fontId="2"/>
  </si>
  <si>
    <t>組／日</t>
  </si>
  <si>
    <t>Ｇ＝</t>
  </si>
  <si>
    <t>Ｋ／Ｄk</t>
    <phoneticPr fontId="2"/>
  </si>
  <si>
    <t>⑧　足場工</t>
  </si>
  <si>
    <t>(1)　足場の種類</t>
  </si>
  <si>
    <t>・架設単独使用のパイプ吊足場</t>
    <phoneticPr fontId="2"/>
  </si>
  <si>
    <t>(2)　所要日数算出条件</t>
  </si>
  <si>
    <t>・作業編成人員は５人／組とする。</t>
    <phoneticPr fontId="2"/>
  </si>
  <si>
    <t>・足場使用回数ｍは１回とする。</t>
    <rPh sb="10" eb="11">
      <t>１カイ</t>
    </rPh>
    <phoneticPr fontId="2"/>
  </si>
  <si>
    <t>・橋面積</t>
    <rPh sb="1" eb="2">
      <t>ハシ</t>
    </rPh>
    <phoneticPr fontId="2"/>
  </si>
  <si>
    <t>総幅員×橋長</t>
  </si>
  <si>
    <r>
      <t>ｍ</t>
    </r>
    <r>
      <rPr>
        <vertAlign val="superscript"/>
        <sz val="10"/>
        <rFont val="ＭＳ ゴシック"/>
        <family val="3"/>
        <charset val="128"/>
      </rPr>
      <t>2</t>
    </r>
    <phoneticPr fontId="2"/>
  </si>
  <si>
    <t>(3)　足場の所要日数</t>
  </si>
  <si>
    <t>1)　主体足場</t>
  </si>
  <si>
    <r>
      <t>h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＝</t>
    </r>
  </si>
  <si>
    <t>A</t>
    <phoneticPr fontId="2"/>
  </si>
  <si>
    <t>+</t>
    <phoneticPr fontId="2"/>
  </si>
  <si>
    <t>作業量(設置)</t>
    <rPh sb="0" eb="2">
      <t>サギョウ</t>
    </rPh>
    <rPh sb="2" eb="3">
      <t>リョウ</t>
    </rPh>
    <rPh sb="4" eb="6">
      <t>セッチ</t>
    </rPh>
    <phoneticPr fontId="2"/>
  </si>
  <si>
    <t>作業量(撤去)</t>
    <rPh sb="0" eb="2">
      <t>サギョウ</t>
    </rPh>
    <rPh sb="2" eb="3">
      <t>リョウ</t>
    </rPh>
    <rPh sb="4" eb="6">
      <t>テッキョ</t>
    </rPh>
    <phoneticPr fontId="2"/>
  </si>
  <si>
    <t>2)　中段足場</t>
  </si>
  <si>
    <r>
      <t>h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＝</t>
    </r>
  </si>
  <si>
    <t>3)　安全通路</t>
  </si>
  <si>
    <r>
      <t>h</t>
    </r>
    <r>
      <rPr>
        <vertAlign val="sub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＝</t>
    </r>
  </si>
  <si>
    <t>作業量(設置・撤去)</t>
    <rPh sb="0" eb="2">
      <t>サギョウ</t>
    </rPh>
    <rPh sb="2" eb="3">
      <t>リョウ</t>
    </rPh>
    <rPh sb="4" eb="6">
      <t>セッチ</t>
    </rPh>
    <rPh sb="7" eb="9">
      <t>テッキョ</t>
    </rPh>
    <phoneticPr fontId="2"/>
  </si>
  <si>
    <t>4)　部分作業床</t>
  </si>
  <si>
    <r>
      <t>h</t>
    </r>
    <r>
      <rPr>
        <vertAlign val="subscript"/>
        <sz val="10"/>
        <rFont val="ＭＳ ゴシック"/>
        <family val="3"/>
        <charset val="128"/>
      </rPr>
      <t>4</t>
    </r>
    <r>
      <rPr>
        <sz val="10"/>
        <rFont val="ＭＳ ゴシック"/>
        <family val="3"/>
        <charset val="128"/>
      </rPr>
      <t>＝</t>
    </r>
  </si>
  <si>
    <t>所要日数</t>
  </si>
  <si>
    <t>Ｈ＝</t>
  </si>
  <si>
    <t>⑨　登り桟橋工</t>
  </si>
  <si>
    <t>下部工</t>
  </si>
  <si>
    <t>Ｈ（ｍ）</t>
    <phoneticPr fontId="2"/>
  </si>
  <si>
    <t>Ｐ１</t>
  </si>
  <si>
    <t>Ｐ２</t>
  </si>
  <si>
    <t>Ｐ３</t>
  </si>
  <si>
    <t>所要日数</t>
    <rPh sb="0" eb="2">
      <t>ショヨウ</t>
    </rPh>
    <rPh sb="2" eb="4">
      <t>ニッスウ</t>
    </rPh>
    <phoneticPr fontId="2"/>
  </si>
  <si>
    <t>Ｉ＝</t>
  </si>
  <si>
    <t>H</t>
    <phoneticPr fontId="2"/>
  </si>
  <si>
    <t>+</t>
    <phoneticPr fontId="2"/>
  </si>
  <si>
    <t>⑩　継手部現場塗装工</t>
  </si>
  <si>
    <t>部位</t>
    <rPh sb="0" eb="2">
      <t>ブイ</t>
    </rPh>
    <phoneticPr fontId="2"/>
  </si>
  <si>
    <r>
      <t>Ａ（ｍ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）</t>
    </r>
    <phoneticPr fontId="2"/>
  </si>
  <si>
    <t>外面</t>
    <rPh sb="0" eb="1">
      <t>ソト</t>
    </rPh>
    <rPh sb="1" eb="2">
      <t>ナイメン</t>
    </rPh>
    <phoneticPr fontId="2"/>
  </si>
  <si>
    <t>内面</t>
    <rPh sb="0" eb="1">
      <t>ナイ</t>
    </rPh>
    <rPh sb="1" eb="2">
      <t>ガイメン</t>
    </rPh>
    <phoneticPr fontId="2"/>
  </si>
  <si>
    <t>外面</t>
    <phoneticPr fontId="2"/>
  </si>
  <si>
    <t>・素地調整日数</t>
  </si>
  <si>
    <r>
      <t>j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＝</t>
    </r>
  </si>
  <si>
    <t>≒</t>
    <phoneticPr fontId="2"/>
  </si>
  <si>
    <t>・外面塗装作業日数</t>
  </si>
  <si>
    <r>
      <t>j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＝</t>
    </r>
  </si>
  <si>
    <t>日/回</t>
    <rPh sb="0" eb="1">
      <t>ニチ</t>
    </rPh>
    <rPh sb="2" eb="3">
      <t>カイ</t>
    </rPh>
    <phoneticPr fontId="2"/>
  </si>
  <si>
    <t>回</t>
    <rPh sb="0" eb="1">
      <t>カイ</t>
    </rPh>
    <phoneticPr fontId="2"/>
  </si>
  <si>
    <t>・内面塗装作業日数</t>
    <rPh sb="1" eb="2">
      <t>ナイ</t>
    </rPh>
    <phoneticPr fontId="2"/>
  </si>
  <si>
    <r>
      <t>j</t>
    </r>
    <r>
      <rPr>
        <vertAlign val="sub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＝</t>
    </r>
  </si>
  <si>
    <t>＝</t>
    <phoneticPr fontId="2"/>
  </si>
  <si>
    <t>Ｊ＝</t>
  </si>
  <si>
    <t>合成床版面積</t>
    <rPh sb="0" eb="2">
      <t>ゴウセイ</t>
    </rPh>
    <rPh sb="2" eb="4">
      <t>ショウバン</t>
    </rPh>
    <rPh sb="4" eb="6">
      <t>メンセキ</t>
    </rPh>
    <phoneticPr fontId="1"/>
  </si>
  <si>
    <t>Ａ＝</t>
    <phoneticPr fontId="1"/>
  </si>
  <si>
    <t>×</t>
    <phoneticPr fontId="2"/>
  </si>
  <si>
    <r>
      <t>ｍ</t>
    </r>
    <r>
      <rPr>
        <vertAlign val="superscript"/>
        <sz val="10"/>
        <rFont val="ＭＳ ゴシック"/>
        <family val="3"/>
        <charset val="128"/>
      </rPr>
      <t>2</t>
    </r>
    <phoneticPr fontId="2"/>
  </si>
  <si>
    <r>
      <t>ｍ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当たり施工量</t>
    </r>
    <rPh sb="2" eb="3">
      <t>ア</t>
    </rPh>
    <rPh sb="5" eb="7">
      <t>セコウ</t>
    </rPh>
    <rPh sb="7" eb="8">
      <t>リョウ</t>
    </rPh>
    <phoneticPr fontId="2"/>
  </si>
  <si>
    <t>ｄ＝</t>
    <phoneticPr fontId="1"/>
  </si>
  <si>
    <r>
      <t>日/ｍ</t>
    </r>
    <r>
      <rPr>
        <vertAlign val="superscript"/>
        <sz val="10"/>
        <rFont val="ＭＳ ゴシック"/>
        <family val="3"/>
        <charset val="128"/>
      </rPr>
      <t>2</t>
    </r>
    <phoneticPr fontId="1"/>
  </si>
  <si>
    <t>・合成床版架設工</t>
    <rPh sb="1" eb="3">
      <t>ゴウセイ</t>
    </rPh>
    <rPh sb="3" eb="5">
      <t>ショウバン</t>
    </rPh>
    <rPh sb="5" eb="7">
      <t>カセツ</t>
    </rPh>
    <rPh sb="7" eb="8">
      <t>コウ</t>
    </rPh>
    <phoneticPr fontId="1"/>
  </si>
  <si>
    <t>×</t>
    <phoneticPr fontId="1"/>
  </si>
  <si>
    <t>×</t>
    <phoneticPr fontId="1"/>
  </si>
  <si>
    <t>＝</t>
    <phoneticPr fontId="1"/>
  </si>
  <si>
    <t>日</t>
    <rPh sb="0" eb="1">
      <t>ニチ</t>
    </rPh>
    <phoneticPr fontId="1"/>
  </si>
  <si>
    <t>・主桁上フランジシール工</t>
    <rPh sb="1" eb="2">
      <t>シュ</t>
    </rPh>
    <rPh sb="2" eb="3">
      <t>ケタ</t>
    </rPh>
    <rPh sb="3" eb="4">
      <t>ウエ</t>
    </rPh>
    <rPh sb="11" eb="12">
      <t>コウ</t>
    </rPh>
    <phoneticPr fontId="1"/>
  </si>
  <si>
    <t>シール延長</t>
    <rPh sb="3" eb="5">
      <t>エンチョウ</t>
    </rPh>
    <phoneticPr fontId="1"/>
  </si>
  <si>
    <t>Ｌ＝</t>
    <phoneticPr fontId="1"/>
  </si>
  <si>
    <t>橋長×主桁本数</t>
    <rPh sb="0" eb="2">
      <t>キョウチョウ</t>
    </rPh>
    <rPh sb="3" eb="4">
      <t>シュ</t>
    </rPh>
    <rPh sb="4" eb="5">
      <t>ケタ</t>
    </rPh>
    <rPh sb="5" eb="7">
      <t>ホンスウ</t>
    </rPh>
    <phoneticPr fontId="2"/>
  </si>
  <si>
    <t>ｍ</t>
    <phoneticPr fontId="1"/>
  </si>
  <si>
    <t>×</t>
    <phoneticPr fontId="1"/>
  </si>
  <si>
    <t>・合成床版接合部シール工</t>
    <rPh sb="1" eb="3">
      <t>ゴウセイ</t>
    </rPh>
    <rPh sb="3" eb="5">
      <t>ショウバン</t>
    </rPh>
    <rPh sb="5" eb="7">
      <t>セツゴウ</t>
    </rPh>
    <rPh sb="7" eb="8">
      <t>ブ</t>
    </rPh>
    <rPh sb="11" eb="12">
      <t>コウ</t>
    </rPh>
    <phoneticPr fontId="1"/>
  </si>
  <si>
    <t>Ｌ＝</t>
    <phoneticPr fontId="1"/>
  </si>
  <si>
    <t>総幅員×（床版パネル数－１）</t>
    <rPh sb="0" eb="1">
      <t>ソウ</t>
    </rPh>
    <rPh sb="1" eb="3">
      <t>フクイン</t>
    </rPh>
    <rPh sb="5" eb="7">
      <t>ショウバン</t>
    </rPh>
    <rPh sb="10" eb="11">
      <t>スウ</t>
    </rPh>
    <phoneticPr fontId="2"/>
  </si>
  <si>
    <t>※　床版パネル数＝橋長／３ｍ</t>
    <rPh sb="2" eb="4">
      <t>ショウバン</t>
    </rPh>
    <rPh sb="7" eb="8">
      <t>スウ</t>
    </rPh>
    <rPh sb="9" eb="11">
      <t>キョウチョウ</t>
    </rPh>
    <phoneticPr fontId="2"/>
  </si>
  <si>
    <t>－</t>
    <phoneticPr fontId="2"/>
  </si>
  <si>
    <t>）</t>
    <phoneticPr fontId="2"/>
  </si>
  <si>
    <t>ｍ</t>
    <phoneticPr fontId="1"/>
  </si>
  <si>
    <t>＋</t>
    <phoneticPr fontId="2"/>
  </si>
  <si>
    <t>１０．トラッククレーンの機種選定</t>
  </si>
  <si>
    <t>（１）架設用クレーン</t>
    <phoneticPr fontId="1"/>
  </si>
  <si>
    <t>１）作業半径（Ｒ）</t>
    <phoneticPr fontId="1"/>
  </si>
  <si>
    <t>ベント高</t>
  </si>
  <si>
    <t>ｍ</t>
    <phoneticPr fontId="1"/>
  </si>
  <si>
    <t>（クレーン機種選定時の吊上げ高さ）</t>
    <rPh sb="5" eb="7">
      <t>キシュ</t>
    </rPh>
    <rPh sb="7" eb="9">
      <t>センテイ</t>
    </rPh>
    <rPh sb="9" eb="10">
      <t>ジ</t>
    </rPh>
    <rPh sb="11" eb="12">
      <t>ツ</t>
    </rPh>
    <rPh sb="12" eb="13">
      <t>ア</t>
    </rPh>
    <rPh sb="14" eb="15">
      <t>タカ</t>
    </rPh>
    <phoneticPr fontId="1"/>
  </si>
  <si>
    <t>θ＝</t>
  </si>
  <si>
    <r>
      <t>tan</t>
    </r>
    <r>
      <rPr>
        <vertAlign val="superscript"/>
        <sz val="10"/>
        <rFont val="ＭＳ ゴシック"/>
        <family val="3"/>
        <charset val="128"/>
      </rPr>
      <t>-1</t>
    </r>
    <phoneticPr fontId="1"/>
  </si>
  <si>
    <r>
      <t>tan</t>
    </r>
    <r>
      <rPr>
        <vertAlign val="superscript"/>
        <sz val="10"/>
        <rFont val="ＭＳ ゴシック"/>
        <family val="3"/>
        <charset val="128"/>
      </rPr>
      <t>-1</t>
    </r>
    <phoneticPr fontId="1"/>
  </si>
  <si>
    <t>°</t>
    <phoneticPr fontId="1"/>
  </si>
  <si>
    <t>°</t>
    <phoneticPr fontId="1"/>
  </si>
  <si>
    <t>1.5＋Ｂ／2</t>
    <phoneticPr fontId="1"/>
  </si>
  <si>
    <t>＋（</t>
    <phoneticPr fontId="2"/>
  </si>
  <si>
    <t>／</t>
    <phoneticPr fontId="1"/>
  </si>
  <si>
    <t>）</t>
    <phoneticPr fontId="1"/>
  </si>
  <si>
    <t>Ｂ：</t>
    <phoneticPr fontId="1"/>
  </si>
  <si>
    <t>主桁のフランジ幅（ｍ）</t>
    <rPh sb="0" eb="1">
      <t>シュ</t>
    </rPh>
    <rPh sb="1" eb="2">
      <t>ケタ</t>
    </rPh>
    <rPh sb="7" eb="8">
      <t>ハバ</t>
    </rPh>
    <phoneticPr fontId="1"/>
  </si>
  <si>
    <t>∴θ＝</t>
    <phoneticPr fontId="1"/>
  </si>
  <si>
    <t>地組立時</t>
  </si>
  <si>
    <t>Ｒ＝</t>
    <phoneticPr fontId="1"/>
  </si>
  <si>
    <t>Ｌ／2＋5</t>
    <phoneticPr fontId="1"/>
  </si>
  <si>
    <t>Ｌ：</t>
    <phoneticPr fontId="1"/>
  </si>
  <si>
    <t>地組部材の全長</t>
    <phoneticPr fontId="1"/>
  </si>
  <si>
    <t>＝</t>
    <phoneticPr fontId="1"/>
  </si>
  <si>
    <t>ｍ</t>
    <phoneticPr fontId="1"/>
  </si>
  <si>
    <t>÷</t>
  </si>
  <si>
    <t>ｍ</t>
    <phoneticPr fontId="1"/>
  </si>
  <si>
    <t>→</t>
    <phoneticPr fontId="1"/>
  </si>
  <si>
    <t>架設時</t>
  </si>
  <si>
    <t>Ｒ＝</t>
  </si>
  <si>
    <t>－1.0＋（Ｈ＋8）cotθ＋Ｗ</t>
    <phoneticPr fontId="1"/>
  </si>
  <si>
    <t>Ｗ：</t>
    <phoneticPr fontId="1"/>
  </si>
  <si>
    <t>外桁間距離</t>
    <rPh sb="0" eb="1">
      <t>ソト</t>
    </rPh>
    <rPh sb="1" eb="2">
      <t>ケタ</t>
    </rPh>
    <rPh sb="2" eb="3">
      <t>カン</t>
    </rPh>
    <rPh sb="3" eb="5">
      <t>キョリ</t>
    </rPh>
    <phoneticPr fontId="1"/>
  </si>
  <si>
    <t>＝</t>
    <phoneticPr fontId="1"/>
  </si>
  <si>
    <t>ｍ</t>
    <phoneticPr fontId="1"/>
  </si>
  <si>
    <t>＋（</t>
  </si>
  <si>
    <t>)×</t>
  </si>
  <si>
    <t>cot</t>
  </si>
  <si>
    <t>°＋</t>
    <phoneticPr fontId="1"/>
  </si>
  <si>
    <t>→</t>
    <phoneticPr fontId="1"/>
  </si>
  <si>
    <t>∴Ｒ＝</t>
    <phoneticPr fontId="1"/>
  </si>
  <si>
    <t>（地組立時）</t>
  </si>
  <si>
    <t>２）トラッククレーン</t>
    <phoneticPr fontId="1"/>
  </si>
  <si>
    <t>Ｐ＝</t>
  </si>
  <si>
    <t>主桁重量＋吊具</t>
    <rPh sb="0" eb="1">
      <t>シュ</t>
    </rPh>
    <phoneticPr fontId="1"/>
  </si>
  <si>
    <t>＋</t>
    <phoneticPr fontId="1"/>
  </si>
  <si>
    <t>ｔ</t>
    <phoneticPr fontId="1"/>
  </si>
  <si>
    <t>→</t>
    <phoneticPr fontId="1"/>
  </si>
  <si>
    <t>ｔ</t>
    <phoneticPr fontId="1"/>
  </si>
  <si>
    <t>「橋梁架設工事の積算　令和2年度版」</t>
    <rPh sb="11" eb="13">
      <t>レイワ</t>
    </rPh>
    <phoneticPr fontId="1"/>
  </si>
  <si>
    <t>より</t>
    <phoneticPr fontId="1"/>
  </si>
  <si>
    <t>（２）ベント設置・撤去用クレーン</t>
    <phoneticPr fontId="1"/>
  </si>
  <si>
    <t>→</t>
    <phoneticPr fontId="1"/>
  </si>
  <si>
    <t>（ベント柱幅</t>
    <phoneticPr fontId="1"/>
  </si>
  <si>
    <t>Ｂ＝</t>
    <phoneticPr fontId="1"/>
  </si>
  <si>
    <t>ｍ）</t>
    <phoneticPr fontId="1"/>
  </si>
  <si>
    <t>構造幅</t>
    <phoneticPr fontId="1"/>
  </si>
  <si>
    <t>Ｗ＝</t>
    <phoneticPr fontId="1"/>
  </si>
  <si>
    <t>ｍ</t>
    <phoneticPr fontId="1"/>
  </si>
  <si>
    <t>クレーン位置</t>
  </si>
  <si>
    <t>（アウトリガー幅）／2＋（アウトリガー敷鉄板幅）／2＋（ベント基礎突出幅）＋余裕</t>
    <phoneticPr fontId="1"/>
  </si>
  <si>
    <t>＝（</t>
    <phoneticPr fontId="1"/>
  </si>
  <si>
    <t>）＋（</t>
    <phoneticPr fontId="1"/>
  </si>
  <si>
    <t>）＋</t>
    <phoneticPr fontId="1"/>
  </si>
  <si>
    <t>＋</t>
    <phoneticPr fontId="1"/>
  </si>
  <si>
    <t>＝</t>
    <phoneticPr fontId="1"/>
  </si>
  <si>
    <t>Ｗ＋Ｃ</t>
    <phoneticPr fontId="1"/>
  </si>
  <si>
    <t>→</t>
    <phoneticPr fontId="1"/>
  </si>
  <si>
    <t>∴Ｒ＝</t>
    <phoneticPr fontId="1"/>
  </si>
  <si>
    <t>ｍ</t>
    <phoneticPr fontId="1"/>
  </si>
  <si>
    <t>２）トラッククレーン</t>
    <phoneticPr fontId="1"/>
  </si>
  <si>
    <t>5.0ｍの高さの柱２本を面組し、組立・解体を行う。</t>
    <phoneticPr fontId="1"/>
  </si>
  <si>
    <t>（ベント柱5ｍの重量×2本）＋（ベント横継）＋（吊具）</t>
    <phoneticPr fontId="1"/>
  </si>
  <si>
    <t>＝（</t>
    <phoneticPr fontId="1"/>
  </si>
  <si>
    <t>×</t>
    <phoneticPr fontId="1"/>
  </si>
  <si>
    <t>＋</t>
    <phoneticPr fontId="1"/>
  </si>
  <si>
    <t>ｔ</t>
    <phoneticPr fontId="1"/>
  </si>
  <si>
    <t>「橋梁架設工事の積算　令和2年度版」</t>
    <rPh sb="11" eb="13">
      <t>レイワ</t>
    </rPh>
    <rPh sb="14" eb="16">
      <t>ネンド</t>
    </rPh>
    <rPh sb="16" eb="17">
      <t>バン</t>
    </rPh>
    <phoneticPr fontId="1"/>
  </si>
  <si>
    <t>より</t>
    <phoneticPr fontId="1"/>
  </si>
  <si>
    <t>（３）溶接用ケーシング設備用クレーン</t>
    <rPh sb="3" eb="6">
      <t>ヨウセツヨウ</t>
    </rPh>
    <rPh sb="11" eb="13">
      <t>セツビ</t>
    </rPh>
    <phoneticPr fontId="1"/>
  </si>
  <si>
    <t>ベント最大高さ</t>
    <rPh sb="3" eb="5">
      <t>サイダイ</t>
    </rPh>
    <rPh sb="5" eb="6">
      <t>タカ</t>
    </rPh>
    <phoneticPr fontId="1"/>
  </si>
  <si>
    <t>Ｈ＝</t>
    <phoneticPr fontId="1"/>
  </si>
  <si>
    <t>（４）合成床版架設用クレーン</t>
    <rPh sb="3" eb="5">
      <t>ゴウセイ</t>
    </rPh>
    <rPh sb="5" eb="7">
      <t>ショウバン</t>
    </rPh>
    <rPh sb="7" eb="9">
      <t>カセツ</t>
    </rPh>
    <rPh sb="9" eb="10">
      <t>ヨウ</t>
    </rPh>
    <phoneticPr fontId="1"/>
  </si>
  <si>
    <t>Ｈ＝</t>
    <phoneticPr fontId="1"/>
  </si>
  <si>
    <t>ｍ</t>
    <phoneticPr fontId="1"/>
  </si>
  <si>
    <t>１１．所用日数の一覧表</t>
  </si>
  <si>
    <t>名        称</t>
    <rPh sb="0" eb="1">
      <t>ナ</t>
    </rPh>
    <rPh sb="9" eb="10">
      <t>ショウ</t>
    </rPh>
    <phoneticPr fontId="6"/>
  </si>
  <si>
    <t>内　　訳</t>
    <rPh sb="0" eb="1">
      <t>ウチ</t>
    </rPh>
    <rPh sb="3" eb="4">
      <t>ヤク</t>
    </rPh>
    <phoneticPr fontId="6"/>
  </si>
  <si>
    <t>積算日数</t>
    <rPh sb="0" eb="2">
      <t>セキサン</t>
    </rPh>
    <rPh sb="2" eb="4">
      <t>ニッスウ</t>
    </rPh>
    <phoneticPr fontId="6"/>
  </si>
  <si>
    <t>パーティー数</t>
    <rPh sb="5" eb="6">
      <t>スウ</t>
    </rPh>
    <phoneticPr fontId="6"/>
  </si>
  <si>
    <t>共有日数</t>
    <rPh sb="0" eb="2">
      <t>キョウユウ</t>
    </rPh>
    <rPh sb="2" eb="4">
      <t>ニッスウ</t>
    </rPh>
    <phoneticPr fontId="6"/>
  </si>
  <si>
    <t>ベント基礎
ベント設備</t>
    <rPh sb="3" eb="5">
      <t>キソ</t>
    </rPh>
    <rPh sb="9" eb="11">
      <t>セツビ</t>
    </rPh>
    <phoneticPr fontId="6"/>
  </si>
  <si>
    <t>ドリフトピン
仮締ボルト</t>
    <rPh sb="7" eb="8">
      <t>カリ</t>
    </rPh>
    <rPh sb="8" eb="9">
      <t>シ</t>
    </rPh>
    <phoneticPr fontId="6"/>
  </si>
  <si>
    <t>足場工</t>
    <rPh sb="0" eb="2">
      <t>アシバ</t>
    </rPh>
    <rPh sb="2" eb="3">
      <t>コウ</t>
    </rPh>
    <phoneticPr fontId="6"/>
  </si>
  <si>
    <t>登り桟橋</t>
    <rPh sb="0" eb="1">
      <t>ノボ</t>
    </rPh>
    <rPh sb="2" eb="4">
      <t>サンバシ</t>
    </rPh>
    <phoneticPr fontId="6"/>
  </si>
  <si>
    <t>Ａ ベント基礎工</t>
    <phoneticPr fontId="6"/>
  </si>
  <si>
    <t>Ｂ ベント設備工</t>
    <phoneticPr fontId="6"/>
  </si>
  <si>
    <t>Ｃ 地組立工</t>
    <phoneticPr fontId="6"/>
  </si>
  <si>
    <t>地組溶接架台設備工</t>
    <phoneticPr fontId="6"/>
  </si>
  <si>
    <t>Ｄ 桁架設工</t>
    <phoneticPr fontId="6"/>
  </si>
  <si>
    <t>現場継手部溶接工</t>
    <phoneticPr fontId="6"/>
  </si>
  <si>
    <t>溶接用ケーシング設備工</t>
    <phoneticPr fontId="6"/>
  </si>
  <si>
    <t>Ｅ 支承据付工</t>
    <phoneticPr fontId="6"/>
  </si>
  <si>
    <t>Ｆ 高力ボルト本締工</t>
    <phoneticPr fontId="6"/>
  </si>
  <si>
    <t>Ｇ 落橋防止装置工</t>
    <phoneticPr fontId="6"/>
  </si>
  <si>
    <t>Ｈ 足場工</t>
    <phoneticPr fontId="6"/>
  </si>
  <si>
    <t>主体足場</t>
    <rPh sb="0" eb="2">
      <t>シュタイ</t>
    </rPh>
    <rPh sb="2" eb="4">
      <t>アシバ</t>
    </rPh>
    <phoneticPr fontId="6"/>
  </si>
  <si>
    <t>中段足場</t>
    <rPh sb="0" eb="2">
      <t>チュウダン</t>
    </rPh>
    <rPh sb="2" eb="4">
      <t>アシバ</t>
    </rPh>
    <phoneticPr fontId="6"/>
  </si>
  <si>
    <t>安全通路</t>
    <rPh sb="0" eb="2">
      <t>アンゼン</t>
    </rPh>
    <rPh sb="2" eb="4">
      <t>ツウロ</t>
    </rPh>
    <phoneticPr fontId="6"/>
  </si>
  <si>
    <t>部分作業床</t>
    <rPh sb="0" eb="2">
      <t>ブブン</t>
    </rPh>
    <rPh sb="2" eb="4">
      <t>サギョウ</t>
    </rPh>
    <rPh sb="4" eb="5">
      <t>ユカ</t>
    </rPh>
    <phoneticPr fontId="6"/>
  </si>
  <si>
    <t>Ｊ 継手部現場塗装工</t>
    <phoneticPr fontId="6"/>
  </si>
  <si>
    <t>合成床版架設工</t>
    <phoneticPr fontId="6"/>
  </si>
  <si>
    <t>実日数</t>
    <rPh sb="0" eb="1">
      <t>ジツ</t>
    </rPh>
    <rPh sb="1" eb="3">
      <t>ニッスウ</t>
    </rPh>
    <phoneticPr fontId="6"/>
  </si>
  <si>
    <t>供用日数</t>
    <rPh sb="0" eb="2">
      <t>キョウヨウ</t>
    </rPh>
    <rPh sb="2" eb="4">
      <t>ニッスウ</t>
    </rPh>
    <phoneticPr fontId="6"/>
  </si>
  <si>
    <t>供用月数</t>
    <rPh sb="0" eb="2">
      <t>キョウヨウ</t>
    </rPh>
    <rPh sb="2" eb="3">
      <t>ツキ</t>
    </rPh>
    <rPh sb="3" eb="4">
      <t>スウ</t>
    </rPh>
    <phoneticPr fontId="6"/>
  </si>
  <si>
    <t>１２．直接工事費一覧表</t>
  </si>
  <si>
    <t>トラッククレーンベント工法</t>
    <rPh sb="11" eb="13">
      <t>コウホウ</t>
    </rPh>
    <phoneticPr fontId="1"/>
  </si>
  <si>
    <t>直接工事費</t>
  </si>
  <si>
    <t>項    目</t>
  </si>
  <si>
    <t>名        称</t>
    <rPh sb="0" eb="1">
      <t>ナマエ</t>
    </rPh>
    <rPh sb="9" eb="10">
      <t>ショウゴウ</t>
    </rPh>
    <phoneticPr fontId="6"/>
  </si>
  <si>
    <t>単位</t>
  </si>
  <si>
    <t>数量</t>
  </si>
  <si>
    <t>単   価</t>
  </si>
  <si>
    <t>金  額（円）</t>
  </si>
  <si>
    <t>備        考</t>
    <phoneticPr fontId="6"/>
  </si>
  <si>
    <t>ベント基礎工</t>
    <phoneticPr fontId="6"/>
  </si>
  <si>
    <t>㎡</t>
    <phoneticPr fontId="6"/>
  </si>
  <si>
    <t>第１－1号内訳書参照</t>
  </si>
  <si>
    <t>ｔ</t>
    <phoneticPr fontId="6"/>
  </si>
  <si>
    <t>第１－2号内訳書参照</t>
  </si>
  <si>
    <t>地 組 立 工</t>
    <phoneticPr fontId="6"/>
  </si>
  <si>
    <t>第１－3号内訳書参照</t>
  </si>
  <si>
    <t>地組溶接架台設備工</t>
    <rPh sb="0" eb="1">
      <t>ジ</t>
    </rPh>
    <rPh sb="1" eb="2">
      <t>グ</t>
    </rPh>
    <rPh sb="2" eb="4">
      <t>ヨウセツ</t>
    </rPh>
    <rPh sb="4" eb="6">
      <t>カダイ</t>
    </rPh>
    <rPh sb="6" eb="8">
      <t>セツビ</t>
    </rPh>
    <rPh sb="8" eb="9">
      <t>コウ</t>
    </rPh>
    <phoneticPr fontId="6"/>
  </si>
  <si>
    <t>内訳書参照</t>
  </si>
  <si>
    <t>桁 架 設 工</t>
    <phoneticPr fontId="6"/>
  </si>
  <si>
    <t>第１－4号内訳書参照</t>
  </si>
  <si>
    <t>重機分解組立運搬費</t>
    <phoneticPr fontId="6"/>
  </si>
  <si>
    <t>第１－5号内訳書参照</t>
  </si>
  <si>
    <t>現場継手部溶接工</t>
    <rPh sb="0" eb="2">
      <t>ゲンバ</t>
    </rPh>
    <rPh sb="2" eb="3">
      <t>ツギ</t>
    </rPh>
    <rPh sb="3" eb="4">
      <t>テ</t>
    </rPh>
    <rPh sb="4" eb="5">
      <t>ブ</t>
    </rPh>
    <rPh sb="5" eb="7">
      <t>ヨウセツ</t>
    </rPh>
    <rPh sb="7" eb="8">
      <t>コウ</t>
    </rPh>
    <phoneticPr fontId="6"/>
  </si>
  <si>
    <t>ｍ</t>
    <phoneticPr fontId="6"/>
  </si>
  <si>
    <t>溶接用ｹｰｼﾝｸﾞ設備工</t>
    <rPh sb="0" eb="3">
      <t>ヨウセツヨウ</t>
    </rPh>
    <rPh sb="9" eb="11">
      <t>セツビ</t>
    </rPh>
    <rPh sb="11" eb="12">
      <t>コウ</t>
    </rPh>
    <phoneticPr fontId="6"/>
  </si>
  <si>
    <t>個</t>
    <phoneticPr fontId="6"/>
  </si>
  <si>
    <t>支承据付工</t>
    <rPh sb="0" eb="1">
      <t>ササ</t>
    </rPh>
    <rPh sb="1" eb="2">
      <t>ウケタマワ</t>
    </rPh>
    <phoneticPr fontId="6"/>
  </si>
  <si>
    <t>基</t>
    <phoneticPr fontId="6"/>
  </si>
  <si>
    <t>第１－6号内訳書参照</t>
  </si>
  <si>
    <t>高力ボルト本締工</t>
    <phoneticPr fontId="6"/>
  </si>
  <si>
    <t>本</t>
    <phoneticPr fontId="6"/>
  </si>
  <si>
    <t>第１－7号内訳書参照</t>
  </si>
  <si>
    <t>落橋防止装置工</t>
    <phoneticPr fontId="6"/>
  </si>
  <si>
    <t>組</t>
    <phoneticPr fontId="6"/>
  </si>
  <si>
    <t>第１－8号内訳書参照</t>
  </si>
  <si>
    <t>足　 場　 工</t>
    <phoneticPr fontId="6"/>
  </si>
  <si>
    <t>㎡</t>
    <phoneticPr fontId="6"/>
  </si>
  <si>
    <t>第１－9号内訳書参照</t>
  </si>
  <si>
    <t>継手部現場塗装工</t>
    <phoneticPr fontId="6"/>
  </si>
  <si>
    <t>第１－10号内訳書参照</t>
  </si>
  <si>
    <t>合成床版架設工</t>
    <rPh sb="0" eb="2">
      <t>ゴウセイ</t>
    </rPh>
    <rPh sb="2" eb="4">
      <t>ショウバン</t>
    </rPh>
    <rPh sb="4" eb="6">
      <t>カセツ</t>
    </rPh>
    <rPh sb="6" eb="7">
      <t>コウ</t>
    </rPh>
    <phoneticPr fontId="6"/>
  </si>
  <si>
    <t>式</t>
    <phoneticPr fontId="6"/>
  </si>
  <si>
    <t>合　　　　計</t>
  </si>
  <si>
    <t>架設鋼重ｔ当り＝</t>
    <phoneticPr fontId="6"/>
  </si>
  <si>
    <t>ｔ＝</t>
  </si>
  <si>
    <t>千円／ｔ</t>
  </si>
  <si>
    <t>第１－1号　ベント基礎工内訳書</t>
  </si>
  <si>
    <t>規　　格</t>
  </si>
  <si>
    <t>単　　価</t>
  </si>
  <si>
    <t>金　額（円）</t>
  </si>
  <si>
    <t>備　　　　　　　考</t>
  </si>
  <si>
    <t>労務費</t>
  </si>
  <si>
    <t>橋梁世話役</t>
  </si>
  <si>
    <t>（</t>
  </si>
  <si>
    <t>人）</t>
  </si>
  <si>
    <t>人</t>
  </si>
  <si>
    <t>所要日数＝</t>
  </si>
  <si>
    <t>R2</t>
  </si>
  <si>
    <t>年度労務単価</t>
    <phoneticPr fontId="6"/>
  </si>
  <si>
    <t>橋梁特殊工</t>
  </si>
  <si>
    <t>〃</t>
  </si>
  <si>
    <t>普通作業員</t>
  </si>
  <si>
    <t>機械損料</t>
  </si>
  <si>
    <t>トラッククレーン賃料</t>
    <phoneticPr fontId="6"/>
  </si>
  <si>
    <t>ラフテレーンクレーン</t>
    <phoneticPr fontId="6"/>
  </si>
  <si>
    <t>20ｔ吊り</t>
  </si>
  <si>
    <t>ベント基礎損料</t>
  </si>
  <si>
    <t>第１－２号参照</t>
  </si>
  <si>
    <t>Ｂ１ベント</t>
    <phoneticPr fontId="6"/>
  </si>
  <si>
    <t>ｔ×</t>
    <phoneticPr fontId="6"/>
  </si>
  <si>
    <t>円/ｔ・日</t>
    <rPh sb="0" eb="1">
      <t>エン</t>
    </rPh>
    <rPh sb="4" eb="5">
      <t>ニチ</t>
    </rPh>
    <phoneticPr fontId="6"/>
  </si>
  <si>
    <t>×</t>
    <phoneticPr fontId="6"/>
  </si>
  <si>
    <t>％</t>
    <phoneticPr fontId="6"/>
  </si>
  <si>
    <t>Ｂ２ベント</t>
    <phoneticPr fontId="6"/>
  </si>
  <si>
    <t>Ｂ３ベント</t>
    <phoneticPr fontId="6"/>
  </si>
  <si>
    <t>Ｂ４ベント</t>
    <phoneticPr fontId="6"/>
  </si>
  <si>
    <t>Ｂ５ベント</t>
  </si>
  <si>
    <t>Ｂ６ベント</t>
  </si>
  <si>
    <t>Ｂ７ベント</t>
  </si>
  <si>
    <t>Ｂ８ベント</t>
  </si>
  <si>
    <t>ｔ×</t>
    <phoneticPr fontId="6"/>
  </si>
  <si>
    <t>Ｂ９ベント</t>
  </si>
  <si>
    <t>Ｂ１０ベント</t>
  </si>
  <si>
    <t>Ｂ１１ベント</t>
  </si>
  <si>
    <t>Ｂ１２ベント</t>
  </si>
  <si>
    <t>Ｂ１３ベント</t>
  </si>
  <si>
    <t>Ｂ１４ベント</t>
  </si>
  <si>
    <t>Ｂ１５ベント</t>
  </si>
  <si>
    <t>Ｂ１６ベント</t>
  </si>
  <si>
    <t>Ｂ１７ベント</t>
  </si>
  <si>
    <t>Ｂ１８ベント</t>
  </si>
  <si>
    <t>Ｂ１９ベント</t>
  </si>
  <si>
    <t>Ｂ２０ベント</t>
  </si>
  <si>
    <t>Ｂ２１ベント</t>
  </si>
  <si>
    <t>Ｂ２２ベント</t>
  </si>
  <si>
    <t>Ｂ２３ベント</t>
  </si>
  <si>
    <t>Ｂ２４ベント</t>
  </si>
  <si>
    <t>Ｂ２５ベント</t>
  </si>
  <si>
    <t>Ｂ２６ベント</t>
  </si>
  <si>
    <t>Ｂ２７ベント</t>
  </si>
  <si>
    <t>Ｂ２８ベント</t>
  </si>
  <si>
    <t>Ｂ２９ベント</t>
  </si>
  <si>
    <t>Ｂ３０ベント</t>
  </si>
  <si>
    <t>表2-5-8　付表-1</t>
    <phoneticPr fontId="6"/>
  </si>
  <si>
    <t>第１－2号　ベント設備工内訳書</t>
  </si>
  <si>
    <t>所要日数 ＝</t>
  </si>
  <si>
    <t>ベント設備損料</t>
  </si>
  <si>
    <t>＝</t>
    <phoneticPr fontId="6"/>
  </si>
  <si>
    <t>円/日</t>
    <rPh sb="0" eb="1">
      <t>エン</t>
    </rPh>
    <rPh sb="2" eb="3">
      <t>ニチ</t>
    </rPh>
    <phoneticPr fontId="6"/>
  </si>
  <si>
    <t>ベント用足場損料</t>
  </si>
  <si>
    <t>架設工具損料</t>
  </si>
  <si>
    <t>日</t>
    <rPh sb="0" eb="1">
      <t>ニチ</t>
    </rPh>
    <phoneticPr fontId="6"/>
  </si>
  <si>
    <t>発動発電機損料</t>
  </si>
  <si>
    <t>25kVA</t>
    <phoneticPr fontId="6"/>
  </si>
  <si>
    <t>諸雑費</t>
  </si>
  <si>
    <t>労務費</t>
    <phoneticPr fontId="6"/>
  </si>
  <si>
    <t>％</t>
  </si>
  <si>
    <t>第１－3号　地組立工内訳書</t>
  </si>
  <si>
    <t>25kVA</t>
    <phoneticPr fontId="6"/>
  </si>
  <si>
    <t>地組用架台損料</t>
    <rPh sb="0" eb="1">
      <t>ジ</t>
    </rPh>
    <rPh sb="1" eb="2">
      <t>グ</t>
    </rPh>
    <rPh sb="2" eb="3">
      <t>ヨウ</t>
    </rPh>
    <rPh sb="3" eb="5">
      <t>カダイ</t>
    </rPh>
    <rPh sb="5" eb="7">
      <t>ソンリョウ</t>
    </rPh>
    <phoneticPr fontId="6"/>
  </si>
  <si>
    <t>＝</t>
    <phoneticPr fontId="6"/>
  </si>
  <si>
    <t>トラッククレーン賃料</t>
    <phoneticPr fontId="6"/>
  </si>
  <si>
    <t>×</t>
    <phoneticPr fontId="6"/>
  </si>
  <si>
    <t>第１－4号　桁架設工内訳書</t>
  </si>
  <si>
    <t>ドリフトピン</t>
  </si>
  <si>
    <t>※下記参照</t>
    <rPh sb="1" eb="3">
      <t>カキ</t>
    </rPh>
    <rPh sb="3" eb="5">
      <t>サンショウ</t>
    </rPh>
    <phoneticPr fontId="6"/>
  </si>
  <si>
    <t>仮締めボルト</t>
  </si>
  <si>
    <t>※ドリフトピン単価</t>
    <rPh sb="7" eb="9">
      <t>タンカ</t>
    </rPh>
    <phoneticPr fontId="6"/>
  </si>
  <si>
    <t>円 ／</t>
    <rPh sb="0" eb="1">
      <t>エン</t>
    </rPh>
    <phoneticPr fontId="6"/>
  </si>
  <si>
    <t>本・日</t>
    <rPh sb="0" eb="1">
      <t>ホン</t>
    </rPh>
    <rPh sb="2" eb="3">
      <t>ニチ</t>
    </rPh>
    <phoneticPr fontId="6"/>
  </si>
  <si>
    <t>本</t>
    <rPh sb="0" eb="1">
      <t>ホン</t>
    </rPh>
    <phoneticPr fontId="6"/>
  </si>
  <si>
    <t>1/3</t>
    <phoneticPr fontId="6"/>
  </si>
  <si>
    <t>1/3</t>
    <phoneticPr fontId="6"/>
  </si>
  <si>
    <t>＝</t>
    <phoneticPr fontId="6"/>
  </si>
  <si>
    <t>※仮締めボルト単価</t>
    <rPh sb="1" eb="2">
      <t>カリ</t>
    </rPh>
    <rPh sb="2" eb="3">
      <t>シ</t>
    </rPh>
    <rPh sb="7" eb="9">
      <t>タンカ</t>
    </rPh>
    <phoneticPr fontId="6"/>
  </si>
  <si>
    <t>×</t>
    <phoneticPr fontId="6"/>
  </si>
  <si>
    <t>2/3</t>
    <phoneticPr fontId="6"/>
  </si>
  <si>
    <t>第１－5号　重建設機械分解組立運搬費</t>
    <phoneticPr fontId="6"/>
  </si>
  <si>
    <t>組立･分解費</t>
    <rPh sb="0" eb="2">
      <t>クミタテ</t>
    </rPh>
    <rPh sb="3" eb="5">
      <t>ブンカイ</t>
    </rPh>
    <rPh sb="5" eb="6">
      <t>ヒ</t>
    </rPh>
    <phoneticPr fontId="6"/>
  </si>
  <si>
    <t>特殊作業員</t>
    <rPh sb="0" eb="2">
      <t>トクシュ</t>
    </rPh>
    <rPh sb="2" eb="4">
      <t>サギョウ</t>
    </rPh>
    <rPh sb="4" eb="5">
      <t>イン</t>
    </rPh>
    <phoneticPr fontId="6"/>
  </si>
  <si>
    <t>50ｔ吊り</t>
    <phoneticPr fontId="6"/>
  </si>
  <si>
    <t>運搬費</t>
    <rPh sb="0" eb="2">
      <t>ウンパン</t>
    </rPh>
    <rPh sb="2" eb="3">
      <t>ヒ</t>
    </rPh>
    <phoneticPr fontId="6"/>
  </si>
  <si>
    <t>%</t>
    <phoneticPr fontId="6"/>
  </si>
  <si>
    <t>パーティー</t>
  </si>
  <si>
    <t>材料費</t>
    <rPh sb="0" eb="3">
      <t>ザイリョウヒ</t>
    </rPh>
    <phoneticPr fontId="6"/>
  </si>
  <si>
    <t>溶接材料ほか</t>
    <rPh sb="0" eb="2">
      <t>ヨウセツ</t>
    </rPh>
    <rPh sb="2" eb="4">
      <t>ザイリョウ</t>
    </rPh>
    <phoneticPr fontId="6"/>
  </si>
  <si>
    <t>60kg級</t>
    <rPh sb="4" eb="5">
      <t>キュウ</t>
    </rPh>
    <phoneticPr fontId="6"/>
  </si>
  <si>
    <t>ｍ</t>
    <phoneticPr fontId="6"/>
  </si>
  <si>
    <t>製作費</t>
    <rPh sb="0" eb="3">
      <t>セイサクヒ</t>
    </rPh>
    <phoneticPr fontId="6"/>
  </si>
  <si>
    <t>ストロングバック</t>
    <phoneticPr fontId="6"/>
  </si>
  <si>
    <t>継手</t>
    <rPh sb="0" eb="1">
      <t>ツギ</t>
    </rPh>
    <rPh sb="1" eb="2">
      <t>テ</t>
    </rPh>
    <phoneticPr fontId="6"/>
  </si>
  <si>
    <t>諸雑費</t>
    <rPh sb="0" eb="3">
      <t>ショザッピ</t>
    </rPh>
    <phoneticPr fontId="6"/>
  </si>
  <si>
    <t>現場溶接消耗材料（溶接長１００ｍあたり）</t>
    <rPh sb="0" eb="2">
      <t>ゲンバ</t>
    </rPh>
    <rPh sb="2" eb="4">
      <t>ヨウセツ</t>
    </rPh>
    <rPh sb="4" eb="6">
      <t>ショウモウ</t>
    </rPh>
    <rPh sb="6" eb="8">
      <t>ザイリョウ</t>
    </rPh>
    <rPh sb="9" eb="11">
      <t>ヨウセツ</t>
    </rPh>
    <rPh sb="11" eb="12">
      <t>チョウ</t>
    </rPh>
    <phoneticPr fontId="6"/>
  </si>
  <si>
    <t>（平均板厚</t>
    <rPh sb="1" eb="3">
      <t>ヘイキン</t>
    </rPh>
    <rPh sb="3" eb="5">
      <t>イタアツ</t>
    </rPh>
    <phoneticPr fontId="6"/>
  </si>
  <si>
    <t>ｍｍ）</t>
    <phoneticPr fontId="6"/>
  </si>
  <si>
    <t>溶接ワイヤ</t>
    <rPh sb="0" eb="2">
      <t>ヨウセツ</t>
    </rPh>
    <phoneticPr fontId="6"/>
  </si>
  <si>
    <t>ｋｇ</t>
    <phoneticPr fontId="6"/>
  </si>
  <si>
    <t>-</t>
    <phoneticPr fontId="6"/>
  </si>
  <si>
    <t>(0.2172　×</t>
    <phoneticPr fontId="6"/>
  </si>
  <si>
    <t>mm －</t>
  </si>
  <si>
    <t>2.0 )</t>
    <phoneticPr fontId="6"/>
  </si>
  <si>
    <t>×100</t>
    <phoneticPr fontId="6"/>
  </si>
  <si>
    <t>kg</t>
  </si>
  <si>
    <t>シールドガス</t>
    <phoneticPr fontId="6"/>
  </si>
  <si>
    <t>2.0 )</t>
  </si>
  <si>
    <t>kg</t>
    <phoneticPr fontId="6"/>
  </si>
  <si>
    <t>裏当て材</t>
    <rPh sb="0" eb="2">
      <t>ウラア</t>
    </rPh>
    <rPh sb="3" eb="4">
      <t>ザイ</t>
    </rPh>
    <phoneticPr fontId="6"/>
  </si>
  <si>
    <t>シールタイプ</t>
    <phoneticPr fontId="6"/>
  </si>
  <si>
    <t>発電機燃料</t>
    <rPh sb="0" eb="3">
      <t>ハツデンキ</t>
    </rPh>
    <rPh sb="3" eb="5">
      <t>ネンリョウ</t>
    </rPh>
    <phoneticPr fontId="6"/>
  </si>
  <si>
    <t>軽油</t>
    <rPh sb="0" eb="2">
      <t>ケイユ</t>
    </rPh>
    <phoneticPr fontId="6"/>
  </si>
  <si>
    <t>㍑</t>
    <phoneticPr fontId="6"/>
  </si>
  <si>
    <t>-</t>
    <phoneticPr fontId="6"/>
  </si>
  <si>
    <t>空気圧縮機燃料</t>
    <rPh sb="0" eb="2">
      <t>クウキ</t>
    </rPh>
    <rPh sb="2" eb="5">
      <t>アッシュクキ</t>
    </rPh>
    <rPh sb="5" eb="7">
      <t>ネンリョウ</t>
    </rPh>
    <phoneticPr fontId="6"/>
  </si>
  <si>
    <t>％</t>
    <phoneticPr fontId="6"/>
  </si>
  <si>
    <t>ストロングバック製作費</t>
    <rPh sb="8" eb="11">
      <t>セイサクヒ</t>
    </rPh>
    <phoneticPr fontId="6"/>
  </si>
  <si>
    <t>フランジ部</t>
    <rPh sb="4" eb="5">
      <t>ブ</t>
    </rPh>
    <phoneticPr fontId="6"/>
  </si>
  <si>
    <t>４ヶ所</t>
    <rPh sb="2" eb="3">
      <t>ショ</t>
    </rPh>
    <phoneticPr fontId="6"/>
  </si>
  <si>
    <t>ヶ</t>
    <phoneticPr fontId="6"/>
  </si>
  <si>
    <t>損料算定表による。</t>
    <rPh sb="0" eb="2">
      <t>ソンリョウ</t>
    </rPh>
    <rPh sb="2" eb="4">
      <t>サンテイ</t>
    </rPh>
    <rPh sb="4" eb="5">
      <t>ヒョウ</t>
    </rPh>
    <phoneticPr fontId="6"/>
  </si>
  <si>
    <t>ウェブ部</t>
    <rPh sb="3" eb="4">
      <t>ブ</t>
    </rPh>
    <phoneticPr fontId="6"/>
  </si>
  <si>
    <t>２ヶ所</t>
    <rPh sb="2" eb="3">
      <t>ショ</t>
    </rPh>
    <phoneticPr fontId="6"/>
  </si>
  <si>
    <t>ケーシング設備損料</t>
    <rPh sb="5" eb="7">
      <t>セツビ</t>
    </rPh>
    <rPh sb="7" eb="9">
      <t>ソンリョウ</t>
    </rPh>
    <phoneticPr fontId="6"/>
  </si>
  <si>
    <t>４基配置</t>
    <rPh sb="1" eb="2">
      <t>キ</t>
    </rPh>
    <rPh sb="2" eb="4">
      <t>ハイチ</t>
    </rPh>
    <phoneticPr fontId="6"/>
  </si>
  <si>
    <t>基</t>
    <rPh sb="0" eb="1">
      <t>キ</t>
    </rPh>
    <phoneticPr fontId="6"/>
  </si>
  <si>
    <t>×</t>
    <phoneticPr fontId="6"/>
  </si>
  <si>
    <t>第１－6号　支承据付工内訳書</t>
  </si>
  <si>
    <t>25ｔ吊り</t>
    <phoneticPr fontId="6"/>
  </si>
  <si>
    <t>材料費</t>
  </si>
  <si>
    <t>支承据付材料</t>
  </si>
  <si>
    <t>基×</t>
    <rPh sb="0" eb="1">
      <t>キ</t>
    </rPh>
    <phoneticPr fontId="6"/>
  </si>
  <si>
    <r>
      <t>ｍ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×</t>
    </r>
    <phoneticPr fontId="6"/>
  </si>
  <si>
    <r>
      <t>円/m</t>
    </r>
    <r>
      <rPr>
        <vertAlign val="superscript"/>
        <sz val="10"/>
        <rFont val="ＭＳ ゴシック"/>
        <family val="3"/>
        <charset val="128"/>
      </rPr>
      <t>3</t>
    </r>
    <rPh sb="0" eb="1">
      <t>エン</t>
    </rPh>
    <phoneticPr fontId="6"/>
  </si>
  <si>
    <t>円</t>
    <rPh sb="0" eb="1">
      <t>エン</t>
    </rPh>
    <phoneticPr fontId="6"/>
  </si>
  <si>
    <t>第１－7号　高力ボルト本締工内訳書</t>
  </si>
  <si>
    <t>25kVA</t>
    <phoneticPr fontId="6"/>
  </si>
  <si>
    <t>第１－8号　落橋防止装置取付工内訳書</t>
  </si>
  <si>
    <t>ラフテレーンクレーン</t>
    <phoneticPr fontId="6"/>
  </si>
  <si>
    <t>第１－9号　足場工内訳書</t>
  </si>
  <si>
    <t>Ａ＝</t>
    <phoneticPr fontId="6"/>
  </si>
  <si>
    <t>ｍ2</t>
    <phoneticPr fontId="6"/>
  </si>
  <si>
    <t>労務費</t>
    <rPh sb="0" eb="3">
      <t>ロウムヒ</t>
    </rPh>
    <phoneticPr fontId="6"/>
  </si>
  <si>
    <r>
      <t>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</si>
  <si>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t>足場賃料</t>
    <rPh sb="0" eb="2">
      <t>アシバ</t>
    </rPh>
    <rPh sb="2" eb="4">
      <t>チンリョウ</t>
    </rPh>
    <phoneticPr fontId="6"/>
  </si>
  <si>
    <r>
      <t>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</si>
  <si>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t>小計</t>
    <rPh sb="0" eb="2">
      <t>ショウケイ</t>
    </rPh>
    <phoneticPr fontId="6"/>
  </si>
  <si>
    <t>中段足場</t>
  </si>
  <si>
    <t>安全通路</t>
  </si>
  <si>
    <t>部分作業床</t>
  </si>
  <si>
    <t>登り桟橋工</t>
    <phoneticPr fontId="6"/>
  </si>
  <si>
    <t>延べ高さ</t>
    <rPh sb="0" eb="1">
      <t>ノ</t>
    </rPh>
    <rPh sb="2" eb="3">
      <t>ダカ</t>
    </rPh>
    <phoneticPr fontId="6"/>
  </si>
  <si>
    <t>Ｈ＝</t>
    <phoneticPr fontId="6"/>
  </si>
  <si>
    <r>
      <t>足場面積1ｍ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当り単価</t>
    </r>
    <phoneticPr fontId="6"/>
  </si>
  <si>
    <r>
      <t>円/ｍ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</si>
  <si>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t>※主体足場単価</t>
    <rPh sb="1" eb="3">
      <t>シュタイ</t>
    </rPh>
    <rPh sb="3" eb="5">
      <t>アシバ</t>
    </rPh>
    <rPh sb="5" eb="7">
      <t>タンカ</t>
    </rPh>
    <phoneticPr fontId="6"/>
  </si>
  <si>
    <t>労務</t>
    <rPh sb="0" eb="2">
      <t>ロウム</t>
    </rPh>
    <phoneticPr fontId="6"/>
  </si>
  <si>
    <t>単価＝</t>
    <rPh sb="0" eb="2">
      <t>タンカ</t>
    </rPh>
    <phoneticPr fontId="6"/>
  </si>
  <si>
    <r>
      <t>（Ｎ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＋Ｎ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）ｙ</t>
    </r>
    <phoneticPr fontId="6"/>
  </si>
  <si>
    <t>＝（</t>
    <phoneticPr fontId="6"/>
  </si>
  <si>
    <t>＋</t>
    <phoneticPr fontId="6"/>
  </si>
  <si>
    <t>）×</t>
    <phoneticPr fontId="6"/>
  </si>
  <si>
    <t>　＝</t>
    <phoneticPr fontId="6"/>
  </si>
  <si>
    <t>賃料</t>
    <rPh sb="0" eb="2">
      <t>チンリョウ</t>
    </rPh>
    <phoneticPr fontId="6"/>
  </si>
  <si>
    <r>
      <t>　Ｌ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＋Ｌ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Ｔ</t>
    </r>
    <r>
      <rPr>
        <vertAlign val="subscript"/>
        <sz val="10"/>
        <rFont val="ＭＳ ゴシック"/>
        <family val="3"/>
        <charset val="128"/>
      </rPr>
      <t>1</t>
    </r>
    <phoneticPr fontId="6"/>
  </si>
  <si>
    <t>＝　</t>
    <phoneticPr fontId="6"/>
  </si>
  <si>
    <t>＋（</t>
    <phoneticPr fontId="6"/>
  </si>
  <si>
    <t>）＝</t>
    <phoneticPr fontId="6"/>
  </si>
  <si>
    <t>※中段足場単価</t>
    <rPh sb="1" eb="2">
      <t>チュウダン</t>
    </rPh>
    <rPh sb="2" eb="3">
      <t>ダン</t>
    </rPh>
    <rPh sb="3" eb="5">
      <t>アシバ</t>
    </rPh>
    <rPh sb="5" eb="7">
      <t>タンカ</t>
    </rPh>
    <phoneticPr fontId="6"/>
  </si>
  <si>
    <r>
      <t>（Ｎ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＋Ｎ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）ｙ</t>
    </r>
    <phoneticPr fontId="6"/>
  </si>
  <si>
    <t>＝（</t>
    <phoneticPr fontId="6"/>
  </si>
  <si>
    <t>　＝</t>
    <phoneticPr fontId="6"/>
  </si>
  <si>
    <r>
      <t>円/ｍ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</si>
  <si>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r>
      <t>　Ｌ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＋Ｌ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Ｔ</t>
    </r>
    <r>
      <rPr>
        <vertAlign val="subscript"/>
        <sz val="10"/>
        <rFont val="ＭＳ ゴシック"/>
        <family val="3"/>
        <charset val="128"/>
      </rPr>
      <t>2</t>
    </r>
    <phoneticPr fontId="6"/>
  </si>
  <si>
    <t>＋（</t>
    <phoneticPr fontId="6"/>
  </si>
  <si>
    <t>）＝</t>
    <phoneticPr fontId="6"/>
  </si>
  <si>
    <t>※安全通路単価</t>
    <rPh sb="1" eb="3">
      <t>アンゼン</t>
    </rPh>
    <rPh sb="3" eb="5">
      <t>ツウロ</t>
    </rPh>
    <rPh sb="5" eb="7">
      <t>タンカ</t>
    </rPh>
    <phoneticPr fontId="6"/>
  </si>
  <si>
    <t>　＝</t>
    <phoneticPr fontId="6"/>
  </si>
  <si>
    <r>
      <t>　Ｌ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＋Ｌ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Ｔ</t>
    </r>
    <r>
      <rPr>
        <vertAlign val="subscript"/>
        <sz val="10"/>
        <rFont val="ＭＳ ゴシック"/>
        <family val="3"/>
        <charset val="128"/>
      </rPr>
      <t>3</t>
    </r>
    <phoneticPr fontId="6"/>
  </si>
  <si>
    <t>＝　</t>
    <phoneticPr fontId="6"/>
  </si>
  <si>
    <t>×</t>
    <phoneticPr fontId="6"/>
  </si>
  <si>
    <t>※部分作業床単価</t>
    <rPh sb="1" eb="3">
      <t>ブブン</t>
    </rPh>
    <rPh sb="3" eb="5">
      <t>サギョウ</t>
    </rPh>
    <rPh sb="5" eb="6">
      <t>ショウ</t>
    </rPh>
    <rPh sb="6" eb="8">
      <t>タンカ</t>
    </rPh>
    <phoneticPr fontId="6"/>
  </si>
  <si>
    <t>＝（</t>
    <phoneticPr fontId="6"/>
  </si>
  <si>
    <r>
      <t>　Ｌ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＋Ｌ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Ｔ</t>
    </r>
    <r>
      <rPr>
        <vertAlign val="subscript"/>
        <sz val="10"/>
        <rFont val="ＭＳ ゴシック"/>
        <family val="3"/>
        <charset val="128"/>
      </rPr>
      <t>4</t>
    </r>
    <phoneticPr fontId="6"/>
  </si>
  <si>
    <t>※登り桟橋単価</t>
    <rPh sb="1" eb="2">
      <t>ノボ</t>
    </rPh>
    <rPh sb="3" eb="5">
      <t>サンバシ</t>
    </rPh>
    <rPh sb="5" eb="7">
      <t>タンカ</t>
    </rPh>
    <phoneticPr fontId="6"/>
  </si>
  <si>
    <t>）×</t>
    <phoneticPr fontId="6"/>
  </si>
  <si>
    <t>円/ｍ</t>
    <rPh sb="0" eb="1">
      <t>エン</t>
    </rPh>
    <phoneticPr fontId="6"/>
  </si>
  <si>
    <r>
      <t>5116+2917Ｔ</t>
    </r>
    <r>
      <rPr>
        <vertAlign val="subscript"/>
        <sz val="10"/>
        <rFont val="ＭＳ ゴシック"/>
        <family val="3"/>
        <charset val="128"/>
      </rPr>
      <t>12</t>
    </r>
    <phoneticPr fontId="6"/>
  </si>
  <si>
    <t>第１－10号　継手部現場塗装工内訳書</t>
  </si>
  <si>
    <t>素地調整工</t>
    <phoneticPr fontId="6"/>
  </si>
  <si>
    <r>
      <t>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</si>
  <si>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t>塗装面積Ａ＝</t>
    <phoneticPr fontId="6"/>
  </si>
  <si>
    <t>塗装作業工</t>
    <phoneticPr fontId="6"/>
  </si>
  <si>
    <t>塗装回数</t>
    <phoneticPr fontId="6"/>
  </si>
  <si>
    <t>(はけ・ﾛｰﾗ- による塗装作業とする)</t>
    <rPh sb="12" eb="14">
      <t>トソウ</t>
    </rPh>
    <rPh sb="14" eb="16">
      <t>サギョウ</t>
    </rPh>
    <phoneticPr fontId="6"/>
  </si>
  <si>
    <t>ミストコート</t>
    <phoneticPr fontId="6"/>
  </si>
  <si>
    <t>変性ｴﾎﾟｷｼ樹脂塗装下塗</t>
    <rPh sb="0" eb="2">
      <t>ヘンセイ</t>
    </rPh>
    <rPh sb="7" eb="9">
      <t>ジュシ</t>
    </rPh>
    <rPh sb="9" eb="11">
      <t>トソウ</t>
    </rPh>
    <rPh sb="11" eb="13">
      <t>シタヌ</t>
    </rPh>
    <phoneticPr fontId="6"/>
  </si>
  <si>
    <r>
      <t>円/ｍ</t>
    </r>
    <r>
      <rPr>
        <vertAlign val="superscript"/>
        <sz val="10"/>
        <rFont val="ＭＳ ゴシック"/>
        <family val="3"/>
        <charset val="128"/>
      </rPr>
      <t>2</t>
    </r>
    <rPh sb="0" eb="1">
      <t>エン</t>
    </rPh>
    <phoneticPr fontId="6"/>
  </si>
  <si>
    <t>回＝</t>
    <rPh sb="0" eb="1">
      <t>カイ</t>
    </rPh>
    <phoneticPr fontId="6"/>
  </si>
  <si>
    <t>下　塗　り</t>
    <rPh sb="0" eb="1">
      <t>シタ</t>
    </rPh>
    <rPh sb="2" eb="3">
      <t>ヌリ</t>
    </rPh>
    <phoneticPr fontId="6"/>
  </si>
  <si>
    <t>越厚膜形ｴﾎﾟｷｼ樹脂塗料</t>
    <rPh sb="0" eb="1">
      <t>コ</t>
    </rPh>
    <rPh sb="1" eb="2">
      <t>アツ</t>
    </rPh>
    <rPh sb="2" eb="3">
      <t>マク</t>
    </rPh>
    <rPh sb="3" eb="4">
      <t>カタチ</t>
    </rPh>
    <rPh sb="9" eb="11">
      <t>ジュシ</t>
    </rPh>
    <rPh sb="11" eb="13">
      <t>トリョウ</t>
    </rPh>
    <phoneticPr fontId="6"/>
  </si>
  <si>
    <t>中　塗　り</t>
    <rPh sb="0" eb="1">
      <t>ナカ</t>
    </rPh>
    <rPh sb="2" eb="3">
      <t>ヌリ</t>
    </rPh>
    <phoneticPr fontId="6"/>
  </si>
  <si>
    <t>ふっ素樹脂塗料用中塗</t>
    <rPh sb="2" eb="3">
      <t>ソ</t>
    </rPh>
    <rPh sb="3" eb="5">
      <t>ジュシ</t>
    </rPh>
    <rPh sb="5" eb="8">
      <t>トリョウヨウ</t>
    </rPh>
    <rPh sb="8" eb="10">
      <t>ナカヌリ</t>
    </rPh>
    <phoneticPr fontId="6"/>
  </si>
  <si>
    <t>×</t>
    <phoneticPr fontId="6"/>
  </si>
  <si>
    <t>上　塗　り</t>
    <rPh sb="0" eb="1">
      <t>ウエ</t>
    </rPh>
    <rPh sb="2" eb="3">
      <t>ヌリ</t>
    </rPh>
    <phoneticPr fontId="6"/>
  </si>
  <si>
    <t>ふっ素樹脂塗料上塗</t>
    <rPh sb="2" eb="3">
      <t>ソ</t>
    </rPh>
    <rPh sb="3" eb="5">
      <t>ジュシ</t>
    </rPh>
    <rPh sb="5" eb="7">
      <t>トリョウ</t>
    </rPh>
    <rPh sb="7" eb="9">
      <t>ウワヌリ</t>
    </rPh>
    <phoneticPr fontId="6"/>
  </si>
  <si>
    <t>ミストコート</t>
    <phoneticPr fontId="6"/>
  </si>
  <si>
    <t>　</t>
    <phoneticPr fontId="6"/>
  </si>
  <si>
    <t>下　塗　り</t>
    <rPh sb="0" eb="1">
      <t>シタ</t>
    </rPh>
    <rPh sb="2" eb="3">
      <t>ヌ</t>
    </rPh>
    <phoneticPr fontId="6"/>
  </si>
  <si>
    <t>名        称</t>
  </si>
  <si>
    <t>トラッククレーン賃料</t>
  </si>
  <si>
    <t>主桁上フランジシール工内訳書</t>
    <phoneticPr fontId="6"/>
  </si>
  <si>
    <t>25kVA</t>
    <phoneticPr fontId="6"/>
  </si>
  <si>
    <t>シール材</t>
    <phoneticPr fontId="6"/>
  </si>
  <si>
    <t>ｍ×（</t>
    <phoneticPr fontId="6"/>
  </si>
  <si>
    <t>）×</t>
    <phoneticPr fontId="6"/>
  </si>
  <si>
    <t>労務・材料費</t>
    <rPh sb="3" eb="5">
      <t>ザイリョウ</t>
    </rPh>
    <phoneticPr fontId="6"/>
  </si>
  <si>
    <t>合成床版接合部シール工内訳書</t>
    <phoneticPr fontId="6"/>
  </si>
  <si>
    <t>シール材</t>
    <phoneticPr fontId="6"/>
  </si>
  <si>
    <t>ｍ×（</t>
    <phoneticPr fontId="6"/>
  </si>
  <si>
    <t>（平均板厚</t>
  </si>
  <si>
    <t>現場溶接検査</t>
    <rPh sb="0" eb="2">
      <t>ゲンバ</t>
    </rPh>
    <rPh sb="2" eb="4">
      <t>ヨウセツ</t>
    </rPh>
    <rPh sb="4" eb="6">
      <t>ケンサ</t>
    </rPh>
    <phoneticPr fontId="6"/>
  </si>
  <si>
    <t>立会検査</t>
    <rPh sb="0" eb="2">
      <t>タチア</t>
    </rPh>
    <rPh sb="2" eb="4">
      <t>ケンサ</t>
    </rPh>
    <phoneticPr fontId="6"/>
  </si>
  <si>
    <t>計</t>
    <rPh sb="0" eb="1">
      <t>ケイ</t>
    </rPh>
    <phoneticPr fontId="6"/>
  </si>
  <si>
    <t>トラッククレーンベント（鈑桁）　架設工事工程表</t>
  </si>
  <si>
    <t>　</t>
    <phoneticPr fontId="6"/>
  </si>
  <si>
    <t>　</t>
    <phoneticPr fontId="6"/>
  </si>
  <si>
    <t>工程</t>
    <rPh sb="0" eb="2">
      <t>コウテイ</t>
    </rPh>
    <phoneticPr fontId="6"/>
  </si>
  <si>
    <t>（日）</t>
    <rPh sb="1" eb="2">
      <t>ニチ</t>
    </rPh>
    <phoneticPr fontId="6"/>
  </si>
  <si>
    <t>作　　業</t>
    <rPh sb="0" eb="4">
      <t>サギョウ</t>
    </rPh>
    <phoneticPr fontId="6"/>
  </si>
  <si>
    <t>所要日数</t>
    <rPh sb="0" eb="2">
      <t>ショヨウ</t>
    </rPh>
    <rPh sb="2" eb="4">
      <t>ニッスウ</t>
    </rPh>
    <phoneticPr fontId="6"/>
  </si>
  <si>
    <t>稼働日数</t>
    <rPh sb="0" eb="2">
      <t>カドウ</t>
    </rPh>
    <rPh sb="2" eb="4">
      <t>ニッスウ</t>
    </rPh>
    <phoneticPr fontId="6"/>
  </si>
  <si>
    <t>備考</t>
    <rPh sb="0" eb="2">
      <t>ビコウ</t>
    </rPh>
    <phoneticPr fontId="6"/>
  </si>
  <si>
    <t>（日数）</t>
    <rPh sb="1" eb="3">
      <t>ニッスウ</t>
    </rPh>
    <phoneticPr fontId="6"/>
  </si>
  <si>
    <t>作業順</t>
    <rPh sb="0" eb="2">
      <t>サギョウ</t>
    </rPh>
    <rPh sb="2" eb="3">
      <t>ジュン</t>
    </rPh>
    <phoneticPr fontId="6"/>
  </si>
  <si>
    <t>設置</t>
    <rPh sb="0" eb="2">
      <t>セッチ</t>
    </rPh>
    <phoneticPr fontId="6"/>
  </si>
  <si>
    <t>撤去</t>
    <rPh sb="0" eb="2">
      <t>テッキョ</t>
    </rPh>
    <phoneticPr fontId="6"/>
  </si>
  <si>
    <t>地組溶接用架台設備工</t>
    <rPh sb="0" eb="1">
      <t>ジ</t>
    </rPh>
    <rPh sb="1" eb="2">
      <t>グ</t>
    </rPh>
    <rPh sb="2" eb="5">
      <t>ヨウセツヨウ</t>
    </rPh>
    <rPh sb="5" eb="7">
      <t>カダイ</t>
    </rPh>
    <rPh sb="7" eb="9">
      <t>セツビ</t>
    </rPh>
    <rPh sb="9" eb="10">
      <t>コウ</t>
    </rPh>
    <phoneticPr fontId="6"/>
  </si>
  <si>
    <t>溶接用ケーシング設備工</t>
    <rPh sb="0" eb="3">
      <t>ヨウセツヨウ</t>
    </rPh>
    <rPh sb="8" eb="10">
      <t>セツビ</t>
    </rPh>
    <rPh sb="10" eb="11">
      <t>コウ</t>
    </rPh>
    <phoneticPr fontId="6"/>
  </si>
  <si>
    <t>　</t>
    <phoneticPr fontId="6"/>
  </si>
  <si>
    <t>足場工</t>
    <rPh sb="0" eb="3">
      <t>アシバコウ</t>
    </rPh>
    <phoneticPr fontId="6"/>
  </si>
  <si>
    <t>架設機材</t>
    <rPh sb="0" eb="2">
      <t>カセツ</t>
    </rPh>
    <rPh sb="2" eb="4">
      <t>キザイ</t>
    </rPh>
    <phoneticPr fontId="6"/>
  </si>
  <si>
    <t>ベント基礎、ベント設備</t>
    <rPh sb="3" eb="5">
      <t>キソ</t>
    </rPh>
    <rPh sb="9" eb="11">
      <t>セツビ</t>
    </rPh>
    <phoneticPr fontId="6"/>
  </si>
  <si>
    <t>ドリフトピン、仮締めボルト</t>
    <rPh sb="7" eb="8">
      <t>カリ</t>
    </rPh>
    <rPh sb="8" eb="9">
      <t>シ</t>
    </rPh>
    <phoneticPr fontId="6"/>
  </si>
  <si>
    <t>地組溶接用架台</t>
    <rPh sb="0" eb="1">
      <t>チ</t>
    </rPh>
    <rPh sb="1" eb="2">
      <t>グミ</t>
    </rPh>
    <rPh sb="2" eb="5">
      <t>ヨウセツヨウ</t>
    </rPh>
    <rPh sb="5" eb="7">
      <t>カダイ</t>
    </rPh>
    <phoneticPr fontId="6"/>
  </si>
  <si>
    <t>現場溶接用使用機械器具</t>
    <rPh sb="0" eb="2">
      <t>ゲンバ</t>
    </rPh>
    <rPh sb="2" eb="5">
      <t>ヨウセツヨウ</t>
    </rPh>
    <rPh sb="5" eb="7">
      <t>シヨウ</t>
    </rPh>
    <rPh sb="7" eb="9">
      <t>キカイ</t>
    </rPh>
    <rPh sb="9" eb="11">
      <t>キグ</t>
    </rPh>
    <phoneticPr fontId="6"/>
  </si>
  <si>
    <t>溶接用ケーシング設備</t>
    <rPh sb="0" eb="3">
      <t>ヨウセツヨウ</t>
    </rPh>
    <rPh sb="8" eb="10">
      <t>セツビ</t>
    </rPh>
    <phoneticPr fontId="6"/>
  </si>
  <si>
    <t>注）１．稼働日数は、所要日数の１．７倍した日数である。</t>
    <rPh sb="0" eb="1">
      <t>チュウ</t>
    </rPh>
    <rPh sb="4" eb="6">
      <t>カドウ</t>
    </rPh>
    <rPh sb="6" eb="8">
      <t>ニッスウ</t>
    </rPh>
    <rPh sb="10" eb="12">
      <t>ショヨウ</t>
    </rPh>
    <rPh sb="12" eb="14">
      <t>ニッスウ</t>
    </rPh>
    <rPh sb="18" eb="19">
      <t>バイ</t>
    </rPh>
    <rPh sb="21" eb="23">
      <t>ニッスウ</t>
    </rPh>
    <phoneticPr fontId="6"/>
  </si>
  <si>
    <t>　　２．ベント基礎工、ベント設備工、架設用足場、登り桟橋　については、日数の２／３を設置、１／３を撤去とする。</t>
    <rPh sb="7" eb="9">
      <t>キソ</t>
    </rPh>
    <rPh sb="9" eb="10">
      <t>コウ</t>
    </rPh>
    <rPh sb="14" eb="16">
      <t>セツビ</t>
    </rPh>
    <rPh sb="16" eb="17">
      <t>コウ</t>
    </rPh>
    <rPh sb="18" eb="21">
      <t>カセツヨウ</t>
    </rPh>
    <rPh sb="21" eb="23">
      <t>アシバ</t>
    </rPh>
    <rPh sb="24" eb="25">
      <t>ノボ</t>
    </rPh>
    <rPh sb="26" eb="28">
      <t>サンバシ</t>
    </rPh>
    <rPh sb="35" eb="37">
      <t>ニッスウ</t>
    </rPh>
    <rPh sb="42" eb="44">
      <t>セッチ</t>
    </rPh>
    <rPh sb="49" eb="51">
      <t>テッキョ</t>
    </rPh>
    <phoneticPr fontId="6"/>
  </si>
  <si>
    <t>　　３．架設機材の工程は、設置から撤去までを示したものであり、積算上の供用日数とは異なる場合がある。</t>
    <rPh sb="4" eb="6">
      <t>カセツ</t>
    </rPh>
    <rPh sb="6" eb="8">
      <t>キザイ</t>
    </rPh>
    <rPh sb="9" eb="11">
      <t>コウテイ</t>
    </rPh>
    <rPh sb="13" eb="15">
      <t>セッチ</t>
    </rPh>
    <rPh sb="17" eb="19">
      <t>テッキョ</t>
    </rPh>
    <rPh sb="22" eb="23">
      <t>シメ</t>
    </rPh>
    <rPh sb="31" eb="33">
      <t>セキサン</t>
    </rPh>
    <rPh sb="33" eb="34">
      <t>ジョウ</t>
    </rPh>
    <rPh sb="35" eb="37">
      <t>キョウヨウ</t>
    </rPh>
    <rPh sb="37" eb="39">
      <t>ニッスウ</t>
    </rPh>
    <rPh sb="41" eb="42">
      <t>コト</t>
    </rPh>
    <rPh sb="44" eb="46">
      <t>バアイ</t>
    </rPh>
    <phoneticPr fontId="6"/>
  </si>
  <si>
    <t>鋼３径間連続鈑桁（令和２年度対応）</t>
    <rPh sb="9" eb="11">
      <t>レイワ</t>
    </rPh>
    <rPh sb="12" eb="13">
      <t>ネン</t>
    </rPh>
    <rPh sb="13" eb="14">
      <t>ド</t>
    </rPh>
    <rPh sb="14" eb="16">
      <t>タイオウ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</si>
</sst>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.0"/>
    <numFmt numFmtId="177" formatCode="0.000"/>
    <numFmt numFmtId="178" formatCode="#,##0_ "/>
    <numFmt numFmtId="179" formatCode="0_ "/>
    <numFmt numFmtId="180" formatCode="#,##0.00_ "/>
    <numFmt numFmtId="181" formatCode="0.E+00"/>
    <numFmt numFmtId="182" formatCode="0.0_ "/>
    <numFmt numFmtId="183" formatCode="0.0_);[Red]\(0.0\)"/>
  </numFmts>
  <fonts count="15"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vertAlign val="subscript"/>
      <sz val="10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92">
    <xf numFmtId="0" fontId="0" fillId="0" borderId="0" xfId="0">
      <alignment vertical="center"/>
    </xf>
    <xf numFmtId="0" fontId="2" fillId="0" borderId="0" xfId="1" applyNumberFormat="1" applyFont="1" applyFill="1" applyBorder="1"/>
    <xf numFmtId="0" fontId="1" fillId="0" borderId="0" xfId="1" applyNumberFormat="1" applyFont="1" applyFill="1" applyBorder="1"/>
    <xf numFmtId="0" fontId="4" fillId="0" borderId="0" xfId="1" applyNumberFormat="1" applyFont="1" applyFill="1" applyBorder="1"/>
    <xf numFmtId="0" fontId="1" fillId="0" borderId="0" xfId="1" applyNumberFormat="1" applyFont="1" applyFill="1" applyBorder="1" applyAlignment="1"/>
    <xf numFmtId="0" fontId="1" fillId="0" borderId="0" xfId="1" applyNumberFormat="1" applyFont="1" applyFill="1" applyBorder="1" applyAlignment="1">
      <alignment shrinkToFit="1"/>
    </xf>
    <xf numFmtId="0" fontId="1" fillId="2" borderId="0" xfId="1" applyNumberFormat="1" applyFont="1" applyFill="1" applyBorder="1" applyAlignment="1">
      <alignment horizontal="center"/>
    </xf>
    <xf numFmtId="176" fontId="1" fillId="2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176" fontId="1" fillId="3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left"/>
    </xf>
    <xf numFmtId="176" fontId="1" fillId="0" borderId="0" xfId="1" applyNumberFormat="1" applyFont="1" applyFill="1" applyBorder="1" applyAlignment="1">
      <alignment horizontal="center"/>
    </xf>
    <xf numFmtId="176" fontId="1" fillId="0" borderId="0" xfId="1" applyNumberFormat="1" applyFont="1" applyFill="1" applyBorder="1"/>
    <xf numFmtId="0" fontId="1" fillId="0" borderId="0" xfId="1" applyNumberFormat="1" applyFont="1" applyFill="1" applyBorder="1" applyAlignment="1">
      <alignment horizontal="center" shrinkToFit="1"/>
    </xf>
    <xf numFmtId="2" fontId="1" fillId="2" borderId="0" xfId="1" applyNumberFormat="1" applyFont="1" applyFill="1" applyBorder="1" applyAlignment="1">
      <alignment horizontal="center"/>
    </xf>
    <xf numFmtId="176" fontId="1" fillId="0" borderId="0" xfId="1" applyNumberFormat="1" applyFont="1" applyFill="1" applyBorder="1" applyAlignment="1"/>
    <xf numFmtId="0" fontId="1" fillId="3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left" shrinkToFit="1"/>
    </xf>
    <xf numFmtId="0" fontId="4" fillId="0" borderId="0" xfId="1" applyNumberFormat="1" applyFont="1" applyFill="1" applyBorder="1" applyAlignment="1">
      <alignment horizontal="left"/>
    </xf>
    <xf numFmtId="0" fontId="1" fillId="0" borderId="1" xfId="1" applyNumberFormat="1" applyFont="1" applyFill="1" applyBorder="1"/>
    <xf numFmtId="0" fontId="1" fillId="0" borderId="2" xfId="1" applyNumberFormat="1" applyFont="1" applyFill="1" applyBorder="1"/>
    <xf numFmtId="0" fontId="1" fillId="0" borderId="3" xfId="1" applyNumberFormat="1" applyFont="1" applyFill="1" applyBorder="1"/>
    <xf numFmtId="0" fontId="1" fillId="0" borderId="4" xfId="1" applyNumberFormat="1" applyFont="1" applyFill="1" applyBorder="1" applyAlignment="1">
      <alignment horizontal="center" shrinkToFit="1"/>
    </xf>
    <xf numFmtId="0" fontId="1" fillId="0" borderId="4" xfId="1" applyNumberFormat="1" applyFont="1" applyFill="1" applyBorder="1"/>
    <xf numFmtId="0" fontId="1" fillId="0" borderId="4" xfId="1" applyNumberFormat="1" applyFont="1" applyFill="1" applyBorder="1" applyAlignment="1">
      <alignment horizontal="center"/>
    </xf>
    <xf numFmtId="176" fontId="1" fillId="2" borderId="4" xfId="1" applyNumberFormat="1" applyFont="1" applyFill="1" applyBorder="1" applyAlignment="1">
      <alignment horizontal="right"/>
    </xf>
    <xf numFmtId="0" fontId="1" fillId="3" borderId="4" xfId="1" applyNumberFormat="1" applyFont="1" applyFill="1" applyBorder="1" applyAlignment="1">
      <alignment horizontal="center"/>
    </xf>
    <xf numFmtId="176" fontId="1" fillId="3" borderId="4" xfId="1" applyNumberFormat="1" applyFont="1" applyFill="1" applyBorder="1" applyAlignment="1">
      <alignment horizontal="center"/>
    </xf>
    <xf numFmtId="0" fontId="1" fillId="0" borderId="5" xfId="1" applyNumberFormat="1" applyFont="1" applyFill="1" applyBorder="1"/>
    <xf numFmtId="0" fontId="1" fillId="0" borderId="6" xfId="1" applyNumberFormat="1" applyFont="1" applyFill="1" applyBorder="1"/>
    <xf numFmtId="0" fontId="1" fillId="0" borderId="7" xfId="1" applyNumberFormat="1" applyFont="1" applyFill="1" applyBorder="1"/>
    <xf numFmtId="176" fontId="1" fillId="3" borderId="8" xfId="1" applyNumberFormat="1" applyFont="1" applyFill="1" applyBorder="1" applyAlignment="1">
      <alignment horizontal="center"/>
    </xf>
    <xf numFmtId="0" fontId="1" fillId="0" borderId="8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177" fontId="1" fillId="3" borderId="1" xfId="1" applyNumberFormat="1" applyFont="1" applyFill="1" applyBorder="1" applyAlignment="1">
      <alignment horizontal="center"/>
    </xf>
    <xf numFmtId="0" fontId="1" fillId="0" borderId="3" xfId="1" applyNumberFormat="1" applyFont="1" applyFill="1" applyBorder="1" applyAlignment="1">
      <alignment horizontal="center"/>
    </xf>
    <xf numFmtId="177" fontId="1" fillId="4" borderId="0" xfId="1" applyNumberFormat="1" applyFont="1" applyFill="1" applyBorder="1" applyAlignment="1">
      <alignment horizontal="center"/>
    </xf>
    <xf numFmtId="0" fontId="1" fillId="3" borderId="9" xfId="1" applyNumberFormat="1" applyFont="1" applyFill="1" applyBorder="1" applyAlignment="1">
      <alignment horizontal="center" shrinkToFit="1"/>
    </xf>
    <xf numFmtId="0" fontId="1" fillId="0" borderId="9" xfId="1" applyNumberFormat="1" applyFont="1" applyFill="1" applyBorder="1" applyAlignment="1">
      <alignment horizontal="left"/>
    </xf>
    <xf numFmtId="2" fontId="1" fillId="4" borderId="0" xfId="1" applyNumberFormat="1" applyFont="1" applyFill="1" applyBorder="1" applyAlignment="1">
      <alignment horizontal="center"/>
    </xf>
    <xf numFmtId="2" fontId="1" fillId="3" borderId="0" xfId="1" applyNumberFormat="1" applyFont="1" applyFill="1" applyBorder="1" applyAlignment="1">
      <alignment horizontal="center"/>
    </xf>
    <xf numFmtId="0" fontId="1" fillId="4" borderId="0" xfId="1" applyNumberFormat="1" applyFont="1" applyFill="1" applyBorder="1" applyAlignment="1">
      <alignment horizontal="center"/>
    </xf>
    <xf numFmtId="176" fontId="1" fillId="4" borderId="0" xfId="1" applyNumberFormat="1" applyFont="1" applyFill="1" applyBorder="1" applyAlignment="1">
      <alignment horizontal="center"/>
    </xf>
    <xf numFmtId="176" fontId="1" fillId="3" borderId="9" xfId="1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horizontal="center"/>
    </xf>
    <xf numFmtId="0" fontId="7" fillId="0" borderId="4" xfId="2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/>
    <xf numFmtId="0" fontId="7" fillId="0" borderId="12" xfId="2" applyNumberFormat="1" applyFont="1" applyFill="1" applyBorder="1" applyAlignment="1">
      <alignment horizontal="center"/>
    </xf>
    <xf numFmtId="0" fontId="1" fillId="0" borderId="14" xfId="2" applyNumberFormat="1" applyFont="1" applyFill="1" applyBorder="1" applyAlignment="1">
      <alignment horizontal="center"/>
    </xf>
    <xf numFmtId="0" fontId="4" fillId="0" borderId="0" xfId="2" applyNumberFormat="1" applyFont="1" applyFill="1" applyBorder="1"/>
    <xf numFmtId="0" fontId="1" fillId="0" borderId="0" xfId="2" applyNumberFormat="1" applyFont="1" applyFill="1" applyBorder="1"/>
    <xf numFmtId="176" fontId="1" fillId="0" borderId="0" xfId="2" applyNumberFormat="1" applyFont="1" applyFill="1" applyBorder="1" applyAlignment="1">
      <alignment horizontal="center"/>
    </xf>
    <xf numFmtId="176" fontId="1" fillId="0" borderId="0" xfId="2" quotePrefix="1" applyNumberFormat="1" applyFont="1" applyFill="1" applyBorder="1" applyAlignment="1">
      <alignment horizontal="center"/>
    </xf>
    <xf numFmtId="176" fontId="1" fillId="3" borderId="0" xfId="2" applyNumberFormat="1" applyFont="1" applyFill="1" applyBorder="1" applyAlignment="1">
      <alignment horizontal="center"/>
    </xf>
    <xf numFmtId="0" fontId="1" fillId="0" borderId="0" xfId="2" quotePrefix="1" applyNumberFormat="1" applyFont="1" applyFill="1" applyBorder="1"/>
    <xf numFmtId="0" fontId="1" fillId="0" borderId="0" xfId="2" quotePrefix="1" applyNumberFormat="1" applyFont="1" applyFill="1" applyBorder="1" applyAlignment="1">
      <alignment horizontal="left"/>
    </xf>
    <xf numFmtId="1" fontId="1" fillId="3" borderId="9" xfId="2" applyNumberFormat="1" applyFont="1" applyFill="1" applyBorder="1" applyAlignment="1">
      <alignment horizontal="center"/>
    </xf>
    <xf numFmtId="0" fontId="1" fillId="0" borderId="9" xfId="2" applyNumberFormat="1" applyFont="1" applyFill="1" applyBorder="1" applyAlignment="1"/>
    <xf numFmtId="176" fontId="1" fillId="3" borderId="9" xfId="2" applyNumberFormat="1" applyFont="1" applyFill="1" applyBorder="1" applyAlignment="1">
      <alignment horizontal="center"/>
    </xf>
    <xf numFmtId="0" fontId="1" fillId="0" borderId="0" xfId="1" applyFont="1" applyFill="1" applyBorder="1"/>
    <xf numFmtId="0" fontId="4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4" xfId="1" applyFont="1" applyFill="1" applyBorder="1"/>
    <xf numFmtId="0" fontId="1" fillId="0" borderId="4" xfId="1" applyFont="1" applyFill="1" applyBorder="1" applyAlignment="1">
      <alignment horizontal="center" shrinkToFit="1"/>
    </xf>
    <xf numFmtId="0" fontId="1" fillId="0" borderId="1" xfId="1" applyFont="1" applyFill="1" applyBorder="1" applyAlignment="1">
      <alignment horizontal="center"/>
    </xf>
    <xf numFmtId="0" fontId="1" fillId="0" borderId="0" xfId="1" applyFont="1" applyFill="1" applyBorder="1" applyAlignment="1"/>
    <xf numFmtId="1" fontId="1" fillId="0" borderId="0" xfId="1" applyNumberFormat="1" applyFont="1" applyFill="1" applyBorder="1" applyAlignment="1">
      <alignment horizontal="center"/>
    </xf>
    <xf numFmtId="0" fontId="1" fillId="0" borderId="9" xfId="1" applyFont="1" applyFill="1" applyBorder="1"/>
    <xf numFmtId="0" fontId="1" fillId="3" borderId="0" xfId="1" applyFont="1" applyFill="1" applyBorder="1" applyAlignment="1">
      <alignment horizontal="center"/>
    </xf>
    <xf numFmtId="177" fontId="1" fillId="0" borderId="0" xfId="1" applyNumberFormat="1" applyFont="1" applyFill="1" applyBorder="1" applyAlignment="1">
      <alignment horizontal="center"/>
    </xf>
    <xf numFmtId="1" fontId="1" fillId="4" borderId="0" xfId="1" applyNumberFormat="1" applyFont="1" applyFill="1" applyBorder="1" applyAlignment="1">
      <alignment horizontal="center"/>
    </xf>
    <xf numFmtId="0" fontId="1" fillId="3" borderId="9" xfId="1" applyFont="1" applyFill="1" applyBorder="1" applyAlignment="1">
      <alignment horizontal="center"/>
    </xf>
    <xf numFmtId="1" fontId="1" fillId="3" borderId="0" xfId="1" applyNumberFormat="1" applyFont="1" applyFill="1" applyBorder="1" applyAlignment="1">
      <alignment horizontal="center"/>
    </xf>
    <xf numFmtId="2" fontId="1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177" fontId="1" fillId="3" borderId="0" xfId="1" applyNumberFormat="1" applyFont="1" applyFill="1" applyBorder="1" applyAlignment="1">
      <alignment horizontal="center"/>
    </xf>
    <xf numFmtId="0" fontId="1" fillId="0" borderId="0" xfId="1" quotePrefix="1" applyFont="1" applyFill="1" applyBorder="1"/>
    <xf numFmtId="0" fontId="1" fillId="0" borderId="0" xfId="1" applyFont="1" applyFill="1" applyBorder="1" applyAlignment="1">
      <alignment shrinkToFit="1"/>
    </xf>
    <xf numFmtId="1" fontId="1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76" fontId="1" fillId="0" borderId="0" xfId="1" applyNumberFormat="1" applyFont="1" applyFill="1" applyBorder="1" applyAlignment="1">
      <alignment horizontal="left"/>
    </xf>
    <xf numFmtId="1" fontId="1" fillId="3" borderId="0" xfId="1" applyNumberFormat="1" applyFont="1" applyFill="1" applyBorder="1" applyAlignment="1">
      <alignment horizontal="center" shrinkToFit="1"/>
    </xf>
    <xf numFmtId="1" fontId="1" fillId="3" borderId="15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/>
    </xf>
    <xf numFmtId="176" fontId="1" fillId="3" borderId="15" xfId="1" applyNumberFormat="1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176" fontId="1" fillId="3" borderId="0" xfId="1" applyNumberFormat="1" applyFont="1" applyFill="1" applyBorder="1" applyAlignment="1">
      <alignment horizontal="center" shrinkToFit="1"/>
    </xf>
    <xf numFmtId="176" fontId="1" fillId="3" borderId="15" xfId="1" applyNumberFormat="1" applyFont="1" applyFill="1" applyBorder="1" applyAlignment="1">
      <alignment horizontal="center" shrinkToFit="1"/>
    </xf>
    <xf numFmtId="177" fontId="1" fillId="0" borderId="15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 shrinkToFit="1"/>
    </xf>
    <xf numFmtId="49" fontId="1" fillId="0" borderId="0" xfId="1" applyNumberFormat="1" applyFont="1" applyFill="1" applyBorder="1"/>
    <xf numFmtId="1" fontId="1" fillId="3" borderId="9" xfId="1" applyNumberFormat="1" applyFont="1" applyFill="1" applyBorder="1" applyAlignment="1">
      <alignment horizontal="center"/>
    </xf>
    <xf numFmtId="0" fontId="1" fillId="0" borderId="0" xfId="1" applyFill="1" applyBorder="1"/>
    <xf numFmtId="0" fontId="2" fillId="0" borderId="0" xfId="0" applyFont="1" applyAlignment="1"/>
    <xf numFmtId="0" fontId="1" fillId="0" borderId="0" xfId="0" applyFont="1" applyAlignment="1"/>
    <xf numFmtId="0" fontId="4" fillId="0" borderId="0" xfId="1" applyFont="1" applyFill="1"/>
    <xf numFmtId="0" fontId="2" fillId="0" borderId="0" xfId="1" applyNumberFormat="1" applyFont="1" applyFill="1"/>
    <xf numFmtId="0" fontId="1" fillId="0" borderId="0" xfId="1" applyFill="1"/>
    <xf numFmtId="0" fontId="1" fillId="0" borderId="0" xfId="1" applyFill="1" applyAlignment="1">
      <alignment horizontal="center"/>
    </xf>
    <xf numFmtId="0" fontId="1" fillId="0" borderId="4" xfId="1" applyFill="1" applyBorder="1" applyAlignment="1">
      <alignment horizontal="center"/>
    </xf>
    <xf numFmtId="176" fontId="1" fillId="5" borderId="4" xfId="1" applyNumberFormat="1" applyFill="1" applyBorder="1" applyAlignment="1">
      <alignment horizontal="center" shrinkToFit="1"/>
    </xf>
    <xf numFmtId="0" fontId="1" fillId="0" borderId="0" xfId="1" applyFont="1" applyFill="1"/>
    <xf numFmtId="176" fontId="1" fillId="0" borderId="4" xfId="1" applyNumberFormat="1" applyFill="1" applyBorder="1" applyAlignment="1">
      <alignment horizontal="center" shrinkToFit="1"/>
    </xf>
    <xf numFmtId="0" fontId="1" fillId="0" borderId="4" xfId="1" applyFill="1" applyBorder="1"/>
    <xf numFmtId="0" fontId="1" fillId="0" borderId="4" xfId="1" applyFill="1" applyBorder="1" applyAlignment="1">
      <alignment shrinkToFit="1"/>
    </xf>
    <xf numFmtId="0" fontId="1" fillId="0" borderId="19" xfId="1" applyFill="1" applyBorder="1" applyAlignment="1">
      <alignment horizontal="center"/>
    </xf>
    <xf numFmtId="176" fontId="1" fillId="5" borderId="19" xfId="1" applyNumberFormat="1" applyFill="1" applyBorder="1" applyAlignment="1">
      <alignment horizontal="center" shrinkToFit="1"/>
    </xf>
    <xf numFmtId="0" fontId="1" fillId="0" borderId="20" xfId="1" applyFill="1" applyBorder="1" applyAlignment="1">
      <alignment shrinkToFit="1"/>
    </xf>
    <xf numFmtId="1" fontId="1" fillId="0" borderId="0" xfId="1" applyNumberFormat="1" applyFill="1" applyAlignment="1">
      <alignment horizontal="center"/>
    </xf>
    <xf numFmtId="0" fontId="1" fillId="0" borderId="1" xfId="1" applyFill="1" applyBorder="1" applyAlignment="1">
      <alignment horizontal="right"/>
    </xf>
    <xf numFmtId="0" fontId="1" fillId="6" borderId="2" xfId="1" applyFill="1" applyBorder="1" applyAlignment="1">
      <alignment horizontal="center"/>
    </xf>
    <xf numFmtId="0" fontId="1" fillId="0" borderId="3" xfId="1" applyFill="1" applyBorder="1"/>
    <xf numFmtId="176" fontId="1" fillId="5" borderId="4" xfId="1" applyNumberFormat="1" applyFill="1" applyBorder="1" applyAlignment="1">
      <alignment horizontal="center"/>
    </xf>
    <xf numFmtId="176" fontId="1" fillId="5" borderId="6" xfId="1" applyNumberFormat="1" applyFill="1" applyBorder="1" applyAlignment="1">
      <alignment horizontal="center"/>
    </xf>
    <xf numFmtId="0" fontId="1" fillId="0" borderId="6" xfId="1" applyFill="1" applyBorder="1"/>
    <xf numFmtId="0" fontId="1" fillId="7" borderId="0" xfId="1" applyFill="1" applyAlignment="1">
      <alignment horizontal="center"/>
    </xf>
    <xf numFmtId="0" fontId="1" fillId="0" borderId="7" xfId="1" applyFill="1" applyBorder="1"/>
    <xf numFmtId="0" fontId="1" fillId="0" borderId="16" xfId="1" applyFill="1" applyBorder="1"/>
    <xf numFmtId="0" fontId="1" fillId="0" borderId="17" xfId="1" applyFill="1" applyBorder="1"/>
    <xf numFmtId="0" fontId="1" fillId="0" borderId="8" xfId="1" applyFill="1" applyBorder="1" applyAlignment="1">
      <alignment horizontal="center"/>
    </xf>
    <xf numFmtId="176" fontId="1" fillId="5" borderId="8" xfId="1" applyNumberFormat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176" fontId="1" fillId="0" borderId="14" xfId="1" applyNumberFormat="1" applyFill="1" applyBorder="1" applyAlignment="1">
      <alignment horizontal="center"/>
    </xf>
    <xf numFmtId="176" fontId="1" fillId="0" borderId="4" xfId="1" applyNumberFormat="1" applyFill="1" applyBorder="1" applyAlignment="1">
      <alignment horizontal="center"/>
    </xf>
    <xf numFmtId="176" fontId="1" fillId="5" borderId="0" xfId="1" applyNumberFormat="1" applyFill="1" applyBorder="1" applyAlignment="1">
      <alignment horizontal="center"/>
    </xf>
    <xf numFmtId="3" fontId="1" fillId="5" borderId="0" xfId="1" applyNumberFormat="1" applyFill="1" applyBorder="1" applyAlignment="1">
      <alignment horizontal="center"/>
    </xf>
    <xf numFmtId="1" fontId="1" fillId="5" borderId="0" xfId="1" applyNumberFormat="1" applyFill="1" applyBorder="1" applyAlignment="1">
      <alignment horizontal="center"/>
    </xf>
    <xf numFmtId="0" fontId="1" fillId="0" borderId="10" xfId="1" applyFont="1" applyFill="1" applyBorder="1"/>
    <xf numFmtId="0" fontId="1" fillId="0" borderId="15" xfId="1" applyFill="1" applyBorder="1"/>
    <xf numFmtId="0" fontId="1" fillId="0" borderId="11" xfId="1" applyFill="1" applyBorder="1"/>
    <xf numFmtId="0" fontId="1" fillId="0" borderId="1" xfId="1" applyFill="1" applyBorder="1"/>
    <xf numFmtId="0" fontId="1" fillId="0" borderId="2" xfId="1" applyFill="1" applyBorder="1"/>
    <xf numFmtId="3" fontId="1" fillId="6" borderId="0" xfId="1" applyNumberFormat="1" applyFill="1" applyBorder="1" applyAlignment="1">
      <alignment horizontal="center"/>
    </xf>
    <xf numFmtId="3" fontId="1" fillId="5" borderId="0" xfId="1" applyNumberFormat="1" applyFill="1" applyBorder="1" applyAlignment="1">
      <alignment horizontal="center" shrinkToFit="1"/>
    </xf>
    <xf numFmtId="0" fontId="1" fillId="0" borderId="0" xfId="1" applyFill="1" applyBorder="1" applyAlignment="1">
      <alignment horizontal="center"/>
    </xf>
    <xf numFmtId="176" fontId="1" fillId="0" borderId="8" xfId="1" applyNumberFormat="1" applyFill="1" applyBorder="1" applyAlignment="1">
      <alignment horizontal="center"/>
    </xf>
    <xf numFmtId="176" fontId="1" fillId="0" borderId="0" xfId="1" applyNumberFormat="1" applyFill="1" applyBorder="1"/>
    <xf numFmtId="41" fontId="1" fillId="0" borderId="0" xfId="1" applyNumberFormat="1" applyFill="1" applyBorder="1" applyAlignment="1">
      <alignment horizontal="center"/>
    </xf>
    <xf numFmtId="41" fontId="1" fillId="0" borderId="0" xfId="1" applyNumberFormat="1" applyFill="1" applyBorder="1" applyAlignment="1">
      <alignment horizontal="center" shrinkToFit="1"/>
    </xf>
    <xf numFmtId="0" fontId="1" fillId="0" borderId="16" xfId="1" applyFont="1" applyFill="1" applyBorder="1"/>
    <xf numFmtId="0" fontId="1" fillId="6" borderId="0" xfId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5" borderId="0" xfId="1" applyFill="1" applyAlignment="1">
      <alignment horizontal="center"/>
    </xf>
    <xf numFmtId="49" fontId="1" fillId="0" borderId="0" xfId="1" applyNumberFormat="1" applyFont="1" applyFill="1" applyAlignment="1">
      <alignment horizontal="center"/>
    </xf>
    <xf numFmtId="3" fontId="1" fillId="5" borderId="0" xfId="1" applyNumberFormat="1" applyFill="1" applyAlignment="1">
      <alignment horizontal="center"/>
    </xf>
    <xf numFmtId="0" fontId="1" fillId="6" borderId="4" xfId="1" applyFill="1" applyBorder="1" applyAlignment="1">
      <alignment horizontal="center"/>
    </xf>
    <xf numFmtId="0" fontId="1" fillId="0" borderId="6" xfId="1" applyFill="1" applyBorder="1" applyAlignment="1"/>
    <xf numFmtId="176" fontId="1" fillId="0" borderId="6" xfId="1" applyNumberFormat="1" applyFill="1" applyBorder="1" applyAlignment="1">
      <alignment horizontal="center"/>
    </xf>
    <xf numFmtId="1" fontId="1" fillId="7" borderId="0" xfId="1" applyNumberFormat="1" applyFill="1" applyAlignment="1">
      <alignment horizontal="center"/>
    </xf>
    <xf numFmtId="0" fontId="1" fillId="0" borderId="4" xfId="1" applyFont="1" applyFill="1" applyBorder="1" applyAlignment="1">
      <alignment horizontal="center"/>
    </xf>
    <xf numFmtId="176" fontId="1" fillId="0" borderId="0" xfId="1" applyNumberFormat="1" applyFill="1" applyBorder="1" applyAlignment="1">
      <alignment horizontal="center"/>
    </xf>
    <xf numFmtId="1" fontId="1" fillId="0" borderId="0" xfId="1" applyNumberFormat="1" applyFill="1" applyBorder="1" applyAlignment="1">
      <alignment horizontal="center"/>
    </xf>
    <xf numFmtId="2" fontId="1" fillId="5" borderId="0" xfId="1" applyNumberFormat="1" applyFill="1" applyAlignment="1">
      <alignment shrinkToFit="1"/>
    </xf>
    <xf numFmtId="1" fontId="1" fillId="5" borderId="4" xfId="1" applyNumberFormat="1" applyFill="1" applyBorder="1" applyAlignment="1">
      <alignment horizontal="center"/>
    </xf>
    <xf numFmtId="2" fontId="1" fillId="5" borderId="6" xfId="1" applyNumberFormat="1" applyFont="1" applyFill="1" applyBorder="1" applyAlignment="1">
      <alignment horizontal="center"/>
    </xf>
    <xf numFmtId="2" fontId="1" fillId="0" borderId="0" xfId="1" applyNumberFormat="1" applyFill="1" applyAlignment="1">
      <alignment horizontal="left" shrinkToFit="1"/>
    </xf>
    <xf numFmtId="0" fontId="1" fillId="0" borderId="6" xfId="1" applyFont="1" applyFill="1" applyBorder="1" applyAlignment="1">
      <alignment horizontal="center"/>
    </xf>
    <xf numFmtId="176" fontId="1" fillId="0" borderId="6" xfId="1" applyNumberFormat="1" applyFont="1" applyFill="1" applyBorder="1" applyAlignment="1">
      <alignment horizontal="center"/>
    </xf>
    <xf numFmtId="0" fontId="1" fillId="5" borderId="6" xfId="1" applyFont="1" applyFill="1" applyBorder="1" applyAlignment="1">
      <alignment horizontal="right"/>
    </xf>
    <xf numFmtId="0" fontId="1" fillId="0" borderId="7" xfId="1" applyFill="1" applyBorder="1" applyAlignment="1">
      <alignment horizontal="left"/>
    </xf>
    <xf numFmtId="2" fontId="1" fillId="5" borderId="0" xfId="1" applyNumberFormat="1" applyFill="1" applyBorder="1" applyAlignment="1">
      <alignment horizontal="center"/>
    </xf>
    <xf numFmtId="0" fontId="1" fillId="5" borderId="0" xfId="1" applyFill="1" applyBorder="1" applyAlignment="1">
      <alignment horizontal="right"/>
    </xf>
    <xf numFmtId="0" fontId="1" fillId="0" borderId="17" xfId="1" applyFont="1" applyFill="1" applyBorder="1"/>
    <xf numFmtId="1" fontId="1" fillId="6" borderId="4" xfId="1" applyNumberFormat="1" applyFill="1" applyBorder="1" applyAlignment="1">
      <alignment horizontal="center"/>
    </xf>
    <xf numFmtId="0" fontId="1" fillId="0" borderId="0" xfId="1" applyFont="1" applyFill="1" applyBorder="1" applyAlignment="1">
      <alignment horizontal="center" shrinkToFit="1"/>
    </xf>
    <xf numFmtId="3" fontId="1" fillId="0" borderId="0" xfId="1" applyNumberFormat="1" applyFont="1" applyFill="1" applyBorder="1" applyAlignment="1">
      <alignment horizontal="center" shrinkToFit="1"/>
    </xf>
    <xf numFmtId="0" fontId="1" fillId="0" borderId="14" xfId="1" applyFont="1" applyFill="1" applyBorder="1" applyAlignment="1">
      <alignment horizontal="center"/>
    </xf>
    <xf numFmtId="178" fontId="1" fillId="8" borderId="14" xfId="1" applyNumberFormat="1" applyFill="1" applyBorder="1" applyAlignment="1">
      <alignment horizontal="center"/>
    </xf>
    <xf numFmtId="179" fontId="1" fillId="8" borderId="4" xfId="1" applyNumberFormat="1" applyFill="1" applyBorder="1" applyAlignment="1">
      <alignment horizontal="center"/>
    </xf>
    <xf numFmtId="178" fontId="1" fillId="8" borderId="10" xfId="1" applyNumberFormat="1" applyFill="1" applyBorder="1" applyAlignment="1">
      <alignment horizontal="center"/>
    </xf>
    <xf numFmtId="180" fontId="1" fillId="8" borderId="15" xfId="1" applyNumberFormat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1" fontId="1" fillId="6" borderId="15" xfId="1" applyNumberFormat="1" applyFill="1" applyBorder="1" applyAlignment="1">
      <alignment horizontal="center"/>
    </xf>
    <xf numFmtId="2" fontId="1" fillId="0" borderId="0" xfId="1" applyNumberFormat="1" applyFill="1"/>
    <xf numFmtId="176" fontId="1" fillId="0" borderId="0" xfId="1" applyNumberFormat="1" applyFill="1" applyAlignment="1">
      <alignment horizontal="center"/>
    </xf>
    <xf numFmtId="176" fontId="1" fillId="6" borderId="4" xfId="1" applyNumberFormat="1" applyFill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49" fontId="1" fillId="0" borderId="6" xfId="1" applyNumberFormat="1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176" fontId="1" fillId="0" borderId="16" xfId="1" applyNumberFormat="1" applyFill="1" applyBorder="1" applyAlignment="1">
      <alignment horizontal="center"/>
    </xf>
    <xf numFmtId="3" fontId="1" fillId="0" borderId="0" xfId="1" applyNumberFormat="1" applyFont="1" applyFill="1" applyBorder="1" applyAlignment="1">
      <alignment shrinkToFit="1"/>
    </xf>
    <xf numFmtId="0" fontId="1" fillId="0" borderId="8" xfId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181" fontId="1" fillId="0" borderId="0" xfId="1" applyNumberFormat="1" applyFill="1" applyBorder="1" applyAlignment="1">
      <alignment horizontal="center" shrinkToFit="1"/>
    </xf>
    <xf numFmtId="0" fontId="1" fillId="5" borderId="0" xfId="1" applyFont="1" applyFill="1" applyBorder="1" applyAlignment="1">
      <alignment horizontal="center"/>
    </xf>
    <xf numFmtId="0" fontId="1" fillId="6" borderId="0" xfId="1" applyFill="1" applyBorder="1" applyAlignment="1">
      <alignment horizontal="center"/>
    </xf>
    <xf numFmtId="3" fontId="1" fillId="6" borderId="0" xfId="1" applyNumberFormat="1" applyFill="1" applyBorder="1" applyAlignment="1">
      <alignment horizontal="center" shrinkToFit="1"/>
    </xf>
    <xf numFmtId="0" fontId="1" fillId="0" borderId="17" xfId="1" applyFill="1" applyBorder="1" applyAlignment="1">
      <alignment horizontal="center"/>
    </xf>
    <xf numFmtId="1" fontId="1" fillId="0" borderId="4" xfId="1" applyNumberForma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0" xfId="1" applyFont="1" applyFill="1" applyAlignment="1">
      <alignment horizontal="right" shrinkToFit="1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/>
    <xf numFmtId="177" fontId="1" fillId="0" borderId="0" xfId="1" applyNumberFormat="1" applyFill="1" applyAlignment="1">
      <alignment horizontal="center"/>
    </xf>
    <xf numFmtId="1" fontId="1" fillId="5" borderId="0" xfId="1" applyNumberFormat="1" applyFill="1" applyAlignment="1">
      <alignment horizontal="center"/>
    </xf>
    <xf numFmtId="0" fontId="8" fillId="0" borderId="0" xfId="1" applyFont="1" applyFill="1" applyBorder="1"/>
    <xf numFmtId="3" fontId="1" fillId="0" borderId="0" xfId="1" applyNumberFormat="1" applyFill="1" applyBorder="1" applyAlignment="1">
      <alignment horizontal="center"/>
    </xf>
    <xf numFmtId="0" fontId="1" fillId="0" borderId="17" xfId="1" applyFont="1" applyFill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176" fontId="1" fillId="0" borderId="21" xfId="1" applyNumberFormat="1" applyFill="1" applyBorder="1" applyAlignment="1">
      <alignment horizontal="center"/>
    </xf>
    <xf numFmtId="176" fontId="1" fillId="5" borderId="0" xfId="1" applyNumberFormat="1" applyFont="1" applyFill="1" applyBorder="1" applyAlignment="1">
      <alignment horizontal="center" shrinkToFit="1"/>
    </xf>
    <xf numFmtId="4" fontId="1" fillId="0" borderId="0" xfId="1" applyNumberFormat="1" applyFill="1" applyBorder="1" applyAlignment="1">
      <alignment horizontal="center" shrinkToFit="1"/>
    </xf>
    <xf numFmtId="0" fontId="1" fillId="6" borderId="0" xfId="1" applyFont="1" applyFill="1" applyAlignment="1">
      <alignment horizontal="center"/>
    </xf>
    <xf numFmtId="0" fontId="1" fillId="0" borderId="0" xfId="1" applyFill="1" applyAlignment="1">
      <alignment horizontal="right"/>
    </xf>
    <xf numFmtId="0" fontId="1" fillId="5" borderId="0" xfId="1" applyFill="1"/>
    <xf numFmtId="182" fontId="1" fillId="5" borderId="4" xfId="1" applyNumberFormat="1" applyFill="1" applyBorder="1" applyAlignment="1">
      <alignment shrinkToFit="1"/>
    </xf>
    <xf numFmtId="0" fontId="1" fillId="0" borderId="5" xfId="1" applyFill="1" applyBorder="1"/>
    <xf numFmtId="183" fontId="1" fillId="5" borderId="4" xfId="1" applyNumberFormat="1" applyFill="1" applyBorder="1"/>
    <xf numFmtId="0" fontId="1" fillId="5" borderId="16" xfId="1" applyFill="1" applyBorder="1"/>
    <xf numFmtId="182" fontId="1" fillId="0" borderId="0" xfId="1" applyNumberFormat="1" applyFill="1" applyBorder="1" applyAlignment="1">
      <alignment horizontal="center"/>
    </xf>
    <xf numFmtId="183" fontId="1" fillId="5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left"/>
    </xf>
    <xf numFmtId="0" fontId="1" fillId="5" borderId="4" xfId="1" applyFill="1" applyBorder="1" applyAlignment="1">
      <alignment horizontal="center" shrinkToFit="1"/>
    </xf>
    <xf numFmtId="0" fontId="1" fillId="0" borderId="10" xfId="1" applyFill="1" applyBorder="1"/>
    <xf numFmtId="0" fontId="10" fillId="0" borderId="0" xfId="0" applyFont="1" applyAlignment="1"/>
    <xf numFmtId="0" fontId="0" fillId="0" borderId="0" xfId="0" applyAlignment="1"/>
    <xf numFmtId="182" fontId="0" fillId="0" borderId="0" xfId="0" applyNumberFormat="1" applyAlignment="1"/>
    <xf numFmtId="182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11" fillId="0" borderId="5" xfId="0" applyFont="1" applyBorder="1" applyAlignment="1"/>
    <xf numFmtId="0" fontId="11" fillId="0" borderId="6" xfId="0" applyFont="1" applyBorder="1" applyAlignment="1"/>
    <xf numFmtId="182" fontId="11" fillId="0" borderId="6" xfId="0" applyNumberFormat="1" applyFont="1" applyBorder="1" applyAlignment="1">
      <alignment horizontal="right"/>
    </xf>
    <xf numFmtId="182" fontId="11" fillId="0" borderId="6" xfId="0" applyNumberFormat="1" applyFont="1" applyBorder="1" applyAlignment="1">
      <alignment horizontal="center"/>
    </xf>
    <xf numFmtId="179" fontId="12" fillId="0" borderId="22" xfId="0" applyNumberFormat="1" applyFont="1" applyBorder="1" applyAlignment="1">
      <alignment horizontal="center"/>
    </xf>
    <xf numFmtId="0" fontId="11" fillId="0" borderId="23" xfId="0" applyFont="1" applyBorder="1" applyAlignment="1"/>
    <xf numFmtId="0" fontId="11" fillId="0" borderId="7" xfId="0" applyFont="1" applyBorder="1" applyAlignment="1"/>
    <xf numFmtId="0" fontId="11" fillId="0" borderId="0" xfId="0" applyFont="1" applyAlignment="1"/>
    <xf numFmtId="0" fontId="11" fillId="0" borderId="16" xfId="0" applyFont="1" applyBorder="1" applyAlignment="1"/>
    <xf numFmtId="0" fontId="11" fillId="0" borderId="0" xfId="0" applyFont="1" applyBorder="1" applyAlignment="1"/>
    <xf numFmtId="182" fontId="11" fillId="0" borderId="0" xfId="0" applyNumberFormat="1" applyFont="1" applyBorder="1" applyAlignment="1"/>
    <xf numFmtId="182" fontId="11" fillId="0" borderId="24" xfId="0" applyNumberFormat="1" applyFont="1" applyBorder="1" applyAlignment="1"/>
    <xf numFmtId="182" fontId="11" fillId="0" borderId="24" xfId="0" applyNumberFormat="1" applyFont="1" applyBorder="1" applyAlignment="1">
      <alignment horizontal="center"/>
    </xf>
    <xf numFmtId="179" fontId="12" fillId="0" borderId="25" xfId="0" applyNumberFormat="1" applyFont="1" applyBorder="1" applyAlignment="1">
      <alignment horizontal="center"/>
    </xf>
    <xf numFmtId="0" fontId="11" fillId="0" borderId="26" xfId="0" applyFont="1" applyBorder="1" applyAlignment="1"/>
    <xf numFmtId="0" fontId="11" fillId="0" borderId="17" xfId="0" applyFont="1" applyBorder="1" applyAlignment="1"/>
    <xf numFmtId="182" fontId="12" fillId="5" borderId="29" xfId="0" applyNumberFormat="1" applyFont="1" applyFill="1" applyBorder="1" applyAlignment="1">
      <alignment horizontal="center"/>
    </xf>
    <xf numFmtId="182" fontId="12" fillId="5" borderId="27" xfId="0" applyNumberFormat="1" applyFont="1" applyFill="1" applyBorder="1" applyAlignment="1">
      <alignment horizontal="center"/>
    </xf>
    <xf numFmtId="182" fontId="12" fillId="5" borderId="28" xfId="0" applyNumberFormat="1" applyFont="1" applyFill="1" applyBorder="1" applyAlignment="1">
      <alignment horizontal="center"/>
    </xf>
    <xf numFmtId="179" fontId="12" fillId="5" borderId="30" xfId="0" applyNumberFormat="1" applyFont="1" applyFill="1" applyBorder="1" applyAlignment="1">
      <alignment horizontal="center"/>
    </xf>
    <xf numFmtId="0" fontId="0" fillId="5" borderId="31" xfId="0" applyFill="1" applyBorder="1" applyAlignment="1"/>
    <xf numFmtId="0" fontId="0" fillId="5" borderId="28" xfId="0" applyFill="1" applyBorder="1" applyAlignment="1"/>
    <xf numFmtId="0" fontId="0" fillId="5" borderId="27" xfId="0" applyFill="1" applyBorder="1" applyAlignment="1"/>
    <xf numFmtId="0" fontId="0" fillId="5" borderId="32" xfId="0" applyFill="1" applyBorder="1" applyAlignment="1"/>
    <xf numFmtId="182" fontId="14" fillId="0" borderId="21" xfId="0" applyNumberFormat="1" applyFont="1" applyBorder="1" applyAlignment="1"/>
    <xf numFmtId="182" fontId="14" fillId="0" borderId="16" xfId="0" applyNumberFormat="1" applyFont="1" applyBorder="1" applyAlignment="1">
      <alignment horizontal="center"/>
    </xf>
    <xf numFmtId="182" fontId="14" fillId="0" borderId="0" xfId="0" applyNumberFormat="1" applyFont="1" applyBorder="1" applyAlignment="1"/>
    <xf numFmtId="179" fontId="14" fillId="0" borderId="33" xfId="0" applyNumberFormat="1" applyFont="1" applyBorder="1" applyAlignment="1">
      <alignment horizontal="center"/>
    </xf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0" xfId="0" applyBorder="1" applyAlignment="1"/>
    <xf numFmtId="0" fontId="0" fillId="0" borderId="37" xfId="0" applyBorder="1" applyAlignment="1"/>
    <xf numFmtId="0" fontId="0" fillId="0" borderId="17" xfId="0" applyBorder="1" applyAlignment="1"/>
    <xf numFmtId="182" fontId="14" fillId="0" borderId="14" xfId="0" applyNumberFormat="1" applyFont="1" applyBorder="1" applyAlignment="1"/>
    <xf numFmtId="182" fontId="14" fillId="0" borderId="10" xfId="0" applyNumberFormat="1" applyFont="1" applyBorder="1" applyAlignment="1">
      <alignment horizontal="center"/>
    </xf>
    <xf numFmtId="182" fontId="14" fillId="0" borderId="15" xfId="0" applyNumberFormat="1" applyFont="1" applyBorder="1" applyAlignment="1"/>
    <xf numFmtId="0" fontId="0" fillId="0" borderId="26" xfId="0" applyBorder="1" applyAlignment="1"/>
    <xf numFmtId="0" fontId="0" fillId="0" borderId="16" xfId="0" applyBorder="1" applyAlignment="1"/>
    <xf numFmtId="182" fontId="14" fillId="0" borderId="8" xfId="0" applyNumberFormat="1" applyFont="1" applyBorder="1" applyAlignment="1"/>
    <xf numFmtId="182" fontId="14" fillId="0" borderId="5" xfId="0" applyNumberFormat="1" applyFont="1" applyBorder="1" applyAlignment="1">
      <alignment horizontal="center"/>
    </xf>
    <xf numFmtId="182" fontId="14" fillId="0" borderId="6" xfId="0" applyNumberFormat="1" applyFont="1" applyBorder="1" applyAlignment="1"/>
    <xf numFmtId="179" fontId="14" fillId="0" borderId="38" xfId="0" applyNumberFormat="1" applyFont="1" applyBorder="1" applyAlignment="1">
      <alignment horizontal="center"/>
    </xf>
    <xf numFmtId="0" fontId="0" fillId="0" borderId="23" xfId="0" applyBorder="1" applyAlignment="1"/>
    <xf numFmtId="0" fontId="0" fillId="0" borderId="6" xfId="0" applyBorder="1" applyAlignment="1"/>
    <xf numFmtId="0" fontId="0" fillId="0" borderId="39" xfId="0" applyBorder="1" applyAlignment="1"/>
    <xf numFmtId="0" fontId="0" fillId="0" borderId="40" xfId="0" applyBorder="1" applyAlignment="1"/>
    <xf numFmtId="0" fontId="0" fillId="0" borderId="41" xfId="0" applyBorder="1" applyAlignment="1"/>
    <xf numFmtId="0" fontId="0" fillId="0" borderId="7" xfId="0" applyBorder="1" applyAlignment="1"/>
    <xf numFmtId="0" fontId="0" fillId="0" borderId="5" xfId="0" applyBorder="1" applyAlignment="1"/>
    <xf numFmtId="179" fontId="14" fillId="0" borderId="42" xfId="0" applyNumberFormat="1" applyFont="1" applyBorder="1" applyAlignment="1">
      <alignment horizontal="center"/>
    </xf>
    <xf numFmtId="0" fontId="0" fillId="0" borderId="43" xfId="0" applyBorder="1" applyAlignment="1"/>
    <xf numFmtId="0" fontId="0" fillId="0" borderId="15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44" xfId="0" applyBorder="1" applyAlignment="1"/>
    <xf numFmtId="182" fontId="14" fillId="0" borderId="46" xfId="0" applyNumberFormat="1" applyFont="1" applyBorder="1" applyAlignment="1"/>
    <xf numFmtId="182" fontId="14" fillId="0" borderId="45" xfId="0" applyNumberFormat="1" applyFont="1" applyBorder="1" applyAlignment="1">
      <alignment horizontal="center"/>
    </xf>
    <xf numFmtId="182" fontId="14" fillId="0" borderId="24" xfId="0" applyNumberFormat="1" applyFont="1" applyBorder="1" applyAlignment="1"/>
    <xf numFmtId="0" fontId="0" fillId="0" borderId="47" xfId="0" applyBorder="1" applyAlignment="1"/>
    <xf numFmtId="0" fontId="0" fillId="0" borderId="48" xfId="0" applyBorder="1" applyAlignment="1"/>
    <xf numFmtId="0" fontId="0" fillId="0" borderId="49" xfId="0" applyBorder="1" applyAlignment="1"/>
    <xf numFmtId="0" fontId="1" fillId="0" borderId="12" xfId="2" applyNumberFormat="1" applyFont="1" applyFill="1" applyBorder="1" applyAlignment="1">
      <alignment horizontal="center"/>
    </xf>
    <xf numFmtId="176" fontId="1" fillId="3" borderId="12" xfId="2" applyNumberFormat="1" applyFont="1" applyFill="1" applyBorder="1" applyAlignment="1">
      <alignment horizontal="right"/>
    </xf>
    <xf numFmtId="176" fontId="1" fillId="3" borderId="13" xfId="2" applyNumberFormat="1" applyFont="1" applyFill="1" applyBorder="1" applyAlignment="1">
      <alignment horizontal="right"/>
    </xf>
    <xf numFmtId="0" fontId="1" fillId="0" borderId="14" xfId="2" applyNumberFormat="1" applyFont="1" applyFill="1" applyBorder="1" applyAlignment="1">
      <alignment horizontal="center"/>
    </xf>
    <xf numFmtId="176" fontId="1" fillId="3" borderId="14" xfId="2" applyNumberFormat="1" applyFont="1" applyFill="1" applyBorder="1" applyAlignment="1">
      <alignment horizontal="right"/>
    </xf>
    <xf numFmtId="176" fontId="1" fillId="3" borderId="10" xfId="2" applyNumberFormat="1" applyFont="1" applyFill="1" applyBorder="1" applyAlignment="1">
      <alignment horizontal="right"/>
    </xf>
    <xf numFmtId="0" fontId="1" fillId="0" borderId="5" xfId="2" applyNumberFormat="1" applyFont="1" applyFill="1" applyBorder="1" applyAlignment="1">
      <alignment horizontal="center" vertical="center"/>
    </xf>
    <xf numFmtId="0" fontId="1" fillId="0" borderId="7" xfId="2" applyNumberFormat="1" applyFont="1" applyFill="1" applyBorder="1" applyAlignment="1">
      <alignment horizontal="center" vertical="center"/>
    </xf>
    <xf numFmtId="0" fontId="1" fillId="0" borderId="10" xfId="2" applyNumberFormat="1" applyFont="1" applyFill="1" applyBorder="1" applyAlignment="1">
      <alignment horizontal="center" vertical="center"/>
    </xf>
    <xf numFmtId="0" fontId="1" fillId="0" borderId="1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/>
    </xf>
    <xf numFmtId="0" fontId="8" fillId="0" borderId="3" xfId="2" applyNumberFormat="1" applyFont="1" applyFill="1" applyBorder="1" applyAlignment="1">
      <alignment horizontal="center"/>
    </xf>
    <xf numFmtId="176" fontId="1" fillId="3" borderId="4" xfId="2" applyNumberFormat="1" applyFont="1" applyFill="1" applyBorder="1" applyAlignment="1">
      <alignment horizontal="right"/>
    </xf>
    <xf numFmtId="176" fontId="1" fillId="3" borderId="1" xfId="2" applyNumberFormat="1" applyFont="1" applyFill="1" applyBorder="1" applyAlignment="1">
      <alignment horizontal="right"/>
    </xf>
    <xf numFmtId="0" fontId="1" fillId="0" borderId="1" xfId="2" applyNumberFormat="1" applyFont="1" applyFill="1" applyBorder="1" applyAlignment="1">
      <alignment horizontal="center"/>
    </xf>
    <xf numFmtId="0" fontId="1" fillId="0" borderId="3" xfId="2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0" fontId="1" fillId="0" borderId="2" xfId="2" applyNumberFormat="1" applyFont="1" applyFill="1" applyBorder="1" applyAlignment="1">
      <alignment horizontal="center"/>
    </xf>
    <xf numFmtId="176" fontId="1" fillId="3" borderId="2" xfId="2" applyNumberFormat="1" applyFont="1" applyFill="1" applyBorder="1" applyAlignment="1">
      <alignment horizontal="right"/>
    </xf>
    <xf numFmtId="0" fontId="1" fillId="0" borderId="1" xfId="1" applyNumberFormat="1" applyFont="1" applyFill="1" applyBorder="1" applyAlignment="1">
      <alignment horizontal="center"/>
    </xf>
    <xf numFmtId="0" fontId="1" fillId="0" borderId="3" xfId="1" applyNumberFormat="1" applyFont="1" applyFill="1" applyBorder="1" applyAlignment="1">
      <alignment horizontal="center"/>
    </xf>
    <xf numFmtId="176" fontId="1" fillId="2" borderId="1" xfId="1" applyNumberFormat="1" applyFont="1" applyFill="1" applyBorder="1" applyAlignment="1">
      <alignment horizontal="center"/>
    </xf>
    <xf numFmtId="176" fontId="1" fillId="2" borderId="3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left"/>
    </xf>
    <xf numFmtId="0" fontId="1" fillId="0" borderId="1" xfId="1" applyNumberFormat="1" applyFont="1" applyFill="1" applyBorder="1" applyAlignment="1">
      <alignment horizontal="left"/>
    </xf>
    <xf numFmtId="0" fontId="1" fillId="0" borderId="2" xfId="1" applyNumberFormat="1" applyFont="1" applyFill="1" applyBorder="1" applyAlignment="1">
      <alignment horizontal="left"/>
    </xf>
    <xf numFmtId="0" fontId="1" fillId="0" borderId="3" xfId="1" applyNumberFormat="1" applyFont="1" applyFill="1" applyBorder="1" applyAlignment="1">
      <alignment horizontal="left"/>
    </xf>
    <xf numFmtId="0" fontId="1" fillId="3" borderId="1" xfId="1" applyNumberFormat="1" applyFont="1" applyFill="1" applyBorder="1" applyAlignment="1">
      <alignment horizontal="right"/>
    </xf>
    <xf numFmtId="0" fontId="1" fillId="3" borderId="3" xfId="1" applyNumberFormat="1" applyFont="1" applyFill="1" applyBorder="1" applyAlignment="1">
      <alignment horizontal="right"/>
    </xf>
    <xf numFmtId="0" fontId="1" fillId="0" borderId="2" xfId="1" applyNumberFormat="1" applyFont="1" applyFill="1" applyBorder="1" applyAlignment="1">
      <alignment horizontal="center"/>
    </xf>
    <xf numFmtId="176" fontId="1" fillId="3" borderId="2" xfId="1" applyNumberFormat="1" applyFont="1" applyFill="1" applyBorder="1" applyAlignment="1">
      <alignment horizontal="center"/>
    </xf>
    <xf numFmtId="0" fontId="1" fillId="0" borderId="0" xfId="1" applyNumberFormat="1" applyFont="1" applyFill="1" applyBorder="1"/>
    <xf numFmtId="176" fontId="1" fillId="3" borderId="1" xfId="1" applyNumberFormat="1" applyFont="1" applyFill="1" applyBorder="1" applyAlignment="1">
      <alignment horizontal="right"/>
    </xf>
    <xf numFmtId="176" fontId="1" fillId="3" borderId="3" xfId="1" applyNumberFormat="1" applyFont="1" applyFill="1" applyBorder="1" applyAlignment="1">
      <alignment horizontal="right"/>
    </xf>
    <xf numFmtId="0" fontId="1" fillId="0" borderId="1" xfId="1" applyNumberFormat="1" applyFont="1" applyFill="1" applyBorder="1" applyAlignment="1">
      <alignment horizontal="center" shrinkToFit="1"/>
    </xf>
    <xf numFmtId="0" fontId="1" fillId="0" borderId="2" xfId="1" applyNumberFormat="1" applyFont="1" applyFill="1" applyBorder="1" applyAlignment="1">
      <alignment horizontal="center" shrinkToFit="1"/>
    </xf>
    <xf numFmtId="0" fontId="1" fillId="0" borderId="3" xfId="1" applyNumberFormat="1" applyFont="1" applyFill="1" applyBorder="1" applyAlignment="1">
      <alignment horizontal="center" shrinkToFit="1"/>
    </xf>
    <xf numFmtId="0" fontId="1" fillId="0" borderId="5" xfId="1" applyNumberFormat="1" applyFont="1" applyFill="1" applyBorder="1" applyAlignment="1">
      <alignment horizontal="center" shrinkToFit="1"/>
    </xf>
    <xf numFmtId="0" fontId="1" fillId="0" borderId="6" xfId="1" applyNumberFormat="1" applyFont="1" applyFill="1" applyBorder="1" applyAlignment="1">
      <alignment horizontal="center" shrinkToFit="1"/>
    </xf>
    <xf numFmtId="0" fontId="1" fillId="0" borderId="7" xfId="1" applyNumberFormat="1" applyFont="1" applyFill="1" applyBorder="1" applyAlignment="1">
      <alignment horizontal="center" shrinkToFit="1"/>
    </xf>
    <xf numFmtId="0" fontId="1" fillId="0" borderId="0" xfId="1" applyNumberFormat="1" applyFont="1" applyFill="1" applyBorder="1" applyAlignment="1">
      <alignment horizontal="center" shrinkToFit="1"/>
    </xf>
    <xf numFmtId="0" fontId="1" fillId="0" borderId="0" xfId="1" applyNumberFormat="1" applyFont="1" applyFill="1" applyBorder="1" applyAlignment="1">
      <alignment horizontal="center"/>
    </xf>
    <xf numFmtId="0" fontId="1" fillId="2" borderId="1" xfId="1" applyNumberFormat="1" applyFont="1" applyFill="1" applyBorder="1" applyAlignment="1">
      <alignment horizontal="right"/>
    </xf>
    <xf numFmtId="0" fontId="1" fillId="2" borderId="3" xfId="1" applyNumberFormat="1" applyFont="1" applyFill="1" applyBorder="1" applyAlignment="1">
      <alignment horizontal="right"/>
    </xf>
    <xf numFmtId="0" fontId="1" fillId="0" borderId="0" xfId="1" applyNumberFormat="1" applyFont="1" applyFill="1" applyBorder="1" applyAlignment="1">
      <alignment horizontal="left" shrinkToFit="1"/>
    </xf>
    <xf numFmtId="0" fontId="1" fillId="3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1" fillId="4" borderId="0" xfId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176" fontId="1" fillId="3" borderId="0" xfId="1" applyNumberFormat="1" applyFont="1" applyFill="1" applyBorder="1" applyAlignment="1">
      <alignment horizontal="center" vertical="center"/>
    </xf>
    <xf numFmtId="1" fontId="1" fillId="4" borderId="0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/>
    </xf>
    <xf numFmtId="176" fontId="1" fillId="3" borderId="4" xfId="1" applyNumberFormat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176" fontId="1" fillId="2" borderId="4" xfId="1" applyNumberFormat="1" applyFont="1" applyFill="1" applyBorder="1" applyAlignment="1">
      <alignment horizontal="center"/>
    </xf>
    <xf numFmtId="0" fontId="1" fillId="3" borderId="4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shrinkToFit="1"/>
    </xf>
    <xf numFmtId="0" fontId="1" fillId="0" borderId="4" xfId="1" applyFont="1" applyFill="1" applyBorder="1" applyAlignment="1">
      <alignment horizontal="center" shrinkToFit="1"/>
    </xf>
    <xf numFmtId="1" fontId="1" fillId="3" borderId="8" xfId="1" applyNumberFormat="1" applyFont="1" applyFill="1" applyBorder="1" applyAlignment="1">
      <alignment horizontal="center"/>
    </xf>
    <xf numFmtId="176" fontId="1" fillId="3" borderId="8" xfId="1" applyNumberFormat="1" applyFont="1" applyFill="1" applyBorder="1" applyAlignment="1">
      <alignment horizontal="center"/>
    </xf>
    <xf numFmtId="176" fontId="1" fillId="0" borderId="1" xfId="1" applyNumberFormat="1" applyFont="1" applyFill="1" applyBorder="1" applyAlignment="1">
      <alignment horizontal="center"/>
    </xf>
    <xf numFmtId="176" fontId="1" fillId="0" borderId="2" xfId="1" applyNumberFormat="1" applyFont="1" applyFill="1" applyBorder="1" applyAlignment="1">
      <alignment horizontal="center"/>
    </xf>
    <xf numFmtId="176" fontId="1" fillId="0" borderId="3" xfId="1" applyNumberFormat="1" applyFont="1" applyFill="1" applyBorder="1" applyAlignment="1">
      <alignment horizontal="center"/>
    </xf>
    <xf numFmtId="176" fontId="1" fillId="3" borderId="3" xfId="1" applyNumberFormat="1" applyFont="1" applyFill="1" applyBorder="1" applyAlignment="1">
      <alignment horizontal="center"/>
    </xf>
    <xf numFmtId="1" fontId="1" fillId="3" borderId="4" xfId="1" applyNumberFormat="1" applyFont="1" applyFill="1" applyBorder="1" applyAlignment="1">
      <alignment horizontal="center"/>
    </xf>
    <xf numFmtId="176" fontId="1" fillId="3" borderId="1" xfId="1" applyNumberFormat="1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shrinkToFit="1"/>
    </xf>
    <xf numFmtId="0" fontId="1" fillId="0" borderId="0" xfId="1" applyFont="1" applyFill="1" applyBorder="1" applyAlignment="1"/>
    <xf numFmtId="0" fontId="1" fillId="0" borderId="0" xfId="1" applyFont="1" applyFill="1" applyBorder="1" applyAlignment="1">
      <alignment vertical="center"/>
    </xf>
    <xf numFmtId="176" fontId="1" fillId="5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176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4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41" fontId="1" fillId="5" borderId="1" xfId="1" applyNumberFormat="1" applyFill="1" applyBorder="1" applyAlignment="1">
      <alignment horizontal="center" shrinkToFit="1"/>
    </xf>
    <xf numFmtId="41" fontId="1" fillId="0" borderId="3" xfId="1" applyNumberFormat="1" applyFill="1" applyBorder="1" applyAlignment="1">
      <alignment horizontal="center" shrinkToFit="1"/>
    </xf>
    <xf numFmtId="41" fontId="1" fillId="5" borderId="4" xfId="1" applyNumberFormat="1" applyFill="1" applyBorder="1" applyAlignment="1">
      <alignment horizontal="center" shrinkToFit="1"/>
    </xf>
    <xf numFmtId="0" fontId="1" fillId="0" borderId="5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41" fontId="1" fillId="6" borderId="4" xfId="1" applyNumberFormat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41" fontId="1" fillId="0" borderId="1" xfId="1" applyNumberFormat="1" applyFill="1" applyBorder="1" applyAlignment="1">
      <alignment horizontal="center" shrinkToFit="1"/>
    </xf>
    <xf numFmtId="41" fontId="1" fillId="0" borderId="4" xfId="1" applyNumberFormat="1" applyFill="1" applyBorder="1" applyAlignment="1">
      <alignment horizontal="center"/>
    </xf>
    <xf numFmtId="41" fontId="1" fillId="5" borderId="4" xfId="1" applyNumberForma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0" fontId="1" fillId="0" borderId="21" xfId="1" applyFill="1" applyBorder="1" applyAlignment="1">
      <alignment horizontal="center"/>
    </xf>
    <xf numFmtId="0" fontId="1" fillId="0" borderId="8" xfId="1" applyFont="1" applyFill="1" applyBorder="1" applyAlignment="1">
      <alignment horizontal="center" shrinkToFit="1"/>
    </xf>
    <xf numFmtId="0" fontId="1" fillId="0" borderId="8" xfId="1" applyFill="1" applyBorder="1" applyAlignment="1">
      <alignment horizontal="center" shrinkToFit="1"/>
    </xf>
    <xf numFmtId="0" fontId="1" fillId="5" borderId="5" xfId="1" applyFont="1" applyFill="1" applyBorder="1" applyAlignment="1">
      <alignment horizontal="center" shrinkToFit="1"/>
    </xf>
    <xf numFmtId="0" fontId="1" fillId="5" borderId="6" xfId="1" applyFill="1" applyBorder="1" applyAlignment="1">
      <alignment horizontal="center" shrinkToFit="1"/>
    </xf>
    <xf numFmtId="0" fontId="1" fillId="5" borderId="7" xfId="1" applyFill="1" applyBorder="1" applyAlignment="1">
      <alignment horizontal="center" shrinkToFit="1"/>
    </xf>
    <xf numFmtId="41" fontId="1" fillId="5" borderId="8" xfId="1" applyNumberFormat="1" applyFill="1" applyBorder="1" applyAlignment="1">
      <alignment horizontal="center"/>
    </xf>
    <xf numFmtId="41" fontId="1" fillId="5" borderId="8" xfId="1" applyNumberFormat="1" applyFill="1" applyBorder="1" applyAlignment="1">
      <alignment horizontal="center" shrinkToFit="1"/>
    </xf>
    <xf numFmtId="0" fontId="1" fillId="5" borderId="14" xfId="1" applyFont="1" applyFill="1" applyBorder="1" applyAlignment="1">
      <alignment horizontal="center"/>
    </xf>
    <xf numFmtId="0" fontId="1" fillId="5" borderId="14" xfId="1" applyFill="1" applyBorder="1" applyAlignment="1">
      <alignment horizontal="center"/>
    </xf>
    <xf numFmtId="41" fontId="1" fillId="0" borderId="14" xfId="1" applyNumberFormat="1" applyFill="1" applyBorder="1" applyAlignment="1">
      <alignment horizontal="center"/>
    </xf>
    <xf numFmtId="41" fontId="1" fillId="0" borderId="14" xfId="1" applyNumberFormat="1" applyFill="1" applyBorder="1" applyAlignment="1">
      <alignment horizontal="center" shrinkToFit="1"/>
    </xf>
    <xf numFmtId="41" fontId="1" fillId="5" borderId="4" xfId="1" applyNumberFormat="1" applyFont="1" applyFill="1" applyBorder="1" applyAlignment="1">
      <alignment horizontal="center" shrinkToFit="1"/>
    </xf>
    <xf numFmtId="0" fontId="1" fillId="0" borderId="1" xfId="1" applyFont="1" applyFill="1" applyBorder="1" applyAlignment="1">
      <alignment horizontal="center" shrinkToFit="1"/>
    </xf>
    <xf numFmtId="0" fontId="1" fillId="0" borderId="2" xfId="1" applyFill="1" applyBorder="1" applyAlignment="1">
      <alignment horizontal="center" shrinkToFit="1"/>
    </xf>
    <xf numFmtId="0" fontId="1" fillId="0" borderId="3" xfId="1" applyFill="1" applyBorder="1" applyAlignment="1">
      <alignment horizontal="center" shrinkToFit="1"/>
    </xf>
    <xf numFmtId="0" fontId="1" fillId="0" borderId="14" xfId="1" applyFont="1" applyFill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41" fontId="1" fillId="0" borderId="21" xfId="1" applyNumberFormat="1" applyFill="1" applyBorder="1" applyAlignment="1">
      <alignment horizontal="center"/>
    </xf>
    <xf numFmtId="41" fontId="1" fillId="0" borderId="21" xfId="1" applyNumberFormat="1" applyFill="1" applyBorder="1" applyAlignment="1">
      <alignment horizontal="center" shrinkToFit="1"/>
    </xf>
    <xf numFmtId="0" fontId="1" fillId="0" borderId="0" xfId="1" applyFill="1" applyBorder="1" applyAlignment="1">
      <alignment horizontal="center"/>
    </xf>
    <xf numFmtId="0" fontId="1" fillId="0" borderId="4" xfId="1" applyFill="1" applyBorder="1" applyAlignment="1">
      <alignment horizontal="center" shrinkToFit="1"/>
    </xf>
    <xf numFmtId="0" fontId="1" fillId="0" borderId="8" xfId="1" applyFont="1" applyFill="1" applyBorder="1" applyAlignment="1">
      <alignment horizontal="center"/>
    </xf>
    <xf numFmtId="41" fontId="1" fillId="0" borderId="8" xfId="1" applyNumberFormat="1" applyFill="1" applyBorder="1" applyAlignment="1">
      <alignment horizontal="center"/>
    </xf>
    <xf numFmtId="41" fontId="1" fillId="0" borderId="8" xfId="1" applyNumberFormat="1" applyFill="1" applyBorder="1" applyAlignment="1">
      <alignment horizontal="center" shrinkToFit="1"/>
    </xf>
    <xf numFmtId="41" fontId="1" fillId="6" borderId="8" xfId="1" applyNumberForma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1" fontId="1" fillId="5" borderId="4" xfId="1" applyNumberFormat="1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1" fillId="0" borderId="2" xfId="1" applyFill="1" applyBorder="1" applyAlignment="1">
      <alignment horizontal="left"/>
    </xf>
    <xf numFmtId="0" fontId="1" fillId="0" borderId="3" xfId="1" applyFill="1" applyBorder="1" applyAlignment="1">
      <alignment horizontal="left"/>
    </xf>
    <xf numFmtId="41" fontId="1" fillId="5" borderId="3" xfId="1" applyNumberFormat="1" applyFill="1" applyBorder="1" applyAlignment="1">
      <alignment horizontal="center" shrinkToFit="1"/>
    </xf>
    <xf numFmtId="0" fontId="1" fillId="0" borderId="1" xfId="1" applyFont="1" applyFill="1" applyBorder="1" applyAlignment="1">
      <alignment vertical="center" wrapText="1"/>
    </xf>
    <xf numFmtId="0" fontId="1" fillId="0" borderId="3" xfId="1" applyFill="1" applyBorder="1" applyAlignment="1">
      <alignment vertical="center" wrapText="1"/>
    </xf>
    <xf numFmtId="41" fontId="1" fillId="0" borderId="4" xfId="1" applyNumberFormat="1" applyFill="1" applyBorder="1" applyAlignment="1">
      <alignment horizontal="center" shrinkToFit="1"/>
    </xf>
    <xf numFmtId="0" fontId="0" fillId="0" borderId="15" xfId="0" applyBorder="1" applyAlignment="1"/>
    <xf numFmtId="0" fontId="0" fillId="0" borderId="11" xfId="0" applyBorder="1" applyAlignment="1"/>
    <xf numFmtId="0" fontId="1" fillId="0" borderId="1" xfId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5" xfId="1" applyFont="1" applyFill="1" applyBorder="1" applyAlignment="1">
      <alignment horizontal="center" shrinkToFit="1"/>
    </xf>
    <xf numFmtId="0" fontId="1" fillId="0" borderId="6" xfId="1" applyFill="1" applyBorder="1" applyAlignment="1">
      <alignment horizontal="center" shrinkToFit="1"/>
    </xf>
    <xf numFmtId="0" fontId="1" fillId="0" borderId="7" xfId="1" applyFill="1" applyBorder="1" applyAlignment="1">
      <alignment horizontal="center" shrinkToFit="1"/>
    </xf>
    <xf numFmtId="0" fontId="1" fillId="0" borderId="15" xfId="1" applyFill="1" applyBorder="1" applyAlignment="1">
      <alignment horizontal="center"/>
    </xf>
    <xf numFmtId="0" fontId="1" fillId="5" borderId="5" xfId="1" applyFill="1" applyBorder="1" applyAlignment="1">
      <alignment horizontal="center" shrinkToFit="1"/>
    </xf>
    <xf numFmtId="41" fontId="1" fillId="8" borderId="4" xfId="1" applyNumberFormat="1" applyFill="1" applyBorder="1" applyAlignment="1">
      <alignment horizontal="center" shrinkToFit="1"/>
    </xf>
    <xf numFmtId="0" fontId="1" fillId="0" borderId="16" xfId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5" xfId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" fillId="0" borderId="15" xfId="1" applyFont="1" applyFill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1" fillId="0" borderId="2" xfId="1" applyFont="1" applyFill="1" applyBorder="1" applyAlignment="1">
      <alignment horizontal="center"/>
    </xf>
    <xf numFmtId="41" fontId="1" fillId="5" borderId="1" xfId="1" applyNumberFormat="1" applyFill="1" applyBorder="1" applyAlignment="1">
      <alignment horizontal="center"/>
    </xf>
    <xf numFmtId="41" fontId="1" fillId="5" borderId="3" xfId="1" applyNumberFormat="1" applyFill="1" applyBorder="1" applyAlignment="1">
      <alignment horizontal="center"/>
    </xf>
    <xf numFmtId="3" fontId="1" fillId="6" borderId="5" xfId="1" applyNumberFormat="1" applyFill="1" applyBorder="1" applyAlignment="1">
      <alignment horizontal="right"/>
    </xf>
    <xf numFmtId="3" fontId="1" fillId="6" borderId="7" xfId="1" applyNumberFormat="1" applyFill="1" applyBorder="1" applyAlignment="1">
      <alignment horizontal="right"/>
    </xf>
    <xf numFmtId="3" fontId="1" fillId="6" borderId="1" xfId="1" applyNumberFormat="1" applyFill="1" applyBorder="1" applyAlignment="1">
      <alignment horizontal="right"/>
    </xf>
    <xf numFmtId="3" fontId="1" fillId="6" borderId="3" xfId="1" applyNumberFormat="1" applyFill="1" applyBorder="1" applyAlignment="1">
      <alignment horizontal="right"/>
    </xf>
    <xf numFmtId="0" fontId="1" fillId="0" borderId="16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41" fontId="1" fillId="0" borderId="1" xfId="1" applyNumberFormat="1" applyFill="1" applyBorder="1" applyAlignment="1">
      <alignment horizontal="center"/>
    </xf>
    <xf numFmtId="41" fontId="1" fillId="0" borderId="3" xfId="1" applyNumberFormat="1" applyFill="1" applyBorder="1" applyAlignment="1">
      <alignment horizontal="center"/>
    </xf>
    <xf numFmtId="41" fontId="1" fillId="5" borderId="1" xfId="1" applyNumberFormat="1" applyFont="1" applyFill="1" applyBorder="1" applyAlignment="1">
      <alignment horizontal="center" shrinkToFit="1"/>
    </xf>
    <xf numFmtId="41" fontId="1" fillId="5" borderId="3" xfId="1" applyNumberFormat="1" applyFont="1" applyFill="1" applyBorder="1" applyAlignment="1">
      <alignment horizontal="center" shrinkToFit="1"/>
    </xf>
    <xf numFmtId="41" fontId="1" fillId="5" borderId="5" xfId="1" applyNumberFormat="1" applyFill="1" applyBorder="1" applyAlignment="1">
      <alignment horizontal="center"/>
    </xf>
    <xf numFmtId="41" fontId="1" fillId="5" borderId="7" xfId="1" applyNumberFormat="1" applyFill="1" applyBorder="1" applyAlignment="1">
      <alignment horizontal="center"/>
    </xf>
    <xf numFmtId="41" fontId="1" fillId="5" borderId="5" xfId="1" applyNumberFormat="1" applyFill="1" applyBorder="1" applyAlignment="1">
      <alignment horizontal="center" shrinkToFit="1"/>
    </xf>
    <xf numFmtId="41" fontId="1" fillId="5" borderId="7" xfId="1" applyNumberFormat="1" applyFill="1" applyBorder="1" applyAlignment="1">
      <alignment horizontal="center" shrinkToFit="1"/>
    </xf>
    <xf numFmtId="41" fontId="1" fillId="0" borderId="10" xfId="1" applyNumberFormat="1" applyFill="1" applyBorder="1" applyAlignment="1">
      <alignment horizontal="center"/>
    </xf>
    <xf numFmtId="41" fontId="1" fillId="0" borderId="11" xfId="1" applyNumberFormat="1" applyFill="1" applyBorder="1" applyAlignment="1">
      <alignment horizontal="center"/>
    </xf>
    <xf numFmtId="41" fontId="1" fillId="0" borderId="10" xfId="1" applyNumberFormat="1" applyFill="1" applyBorder="1" applyAlignment="1">
      <alignment horizontal="center" shrinkToFit="1"/>
    </xf>
    <xf numFmtId="41" fontId="1" fillId="0" borderId="11" xfId="1" applyNumberFormat="1" applyFill="1" applyBorder="1" applyAlignment="1">
      <alignment horizontal="center" shrinkToFit="1"/>
    </xf>
    <xf numFmtId="0" fontId="1" fillId="0" borderId="6" xfId="1" applyFont="1" applyFill="1" applyBorder="1"/>
    <xf numFmtId="0" fontId="1" fillId="0" borderId="18" xfId="1" applyFont="1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3" fontId="1" fillId="5" borderId="19" xfId="1" applyNumberFormat="1" applyFill="1" applyBorder="1" applyAlignment="1">
      <alignment horizontal="center" shrinkToFit="1"/>
    </xf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41" fontId="1" fillId="5" borderId="2" xfId="1" applyNumberFormat="1" applyFill="1" applyBorder="1" applyAlignment="1">
      <alignment horizontal="center" shrinkToFit="1"/>
    </xf>
    <xf numFmtId="0" fontId="14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3" fillId="0" borderId="5" xfId="2" applyNumberFormat="1" applyFont="1" applyFill="1" applyBorder="1" applyAlignment="1">
      <alignment horizontal="center"/>
    </xf>
    <xf numFmtId="0" fontId="13" fillId="0" borderId="6" xfId="2" applyNumberFormat="1" applyFont="1" applyFill="1" applyBorder="1" applyAlignment="1">
      <alignment horizontal="center"/>
    </xf>
    <xf numFmtId="0" fontId="13" fillId="0" borderId="45" xfId="2" applyNumberFormat="1" applyFont="1" applyFill="1" applyBorder="1" applyAlignment="1">
      <alignment horizontal="center"/>
    </xf>
    <xf numFmtId="0" fontId="13" fillId="0" borderId="24" xfId="2" applyNumberFormat="1" applyFont="1" applyFill="1" applyBorder="1" applyAlignment="1">
      <alignment horizontal="center"/>
    </xf>
    <xf numFmtId="0" fontId="14" fillId="5" borderId="27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10" xfId="2" applyNumberFormat="1" applyFont="1" applyFill="1" applyBorder="1" applyAlignment="1">
      <alignment horizontal="center"/>
    </xf>
    <xf numFmtId="0" fontId="13" fillId="0" borderId="15" xfId="2" applyNumberFormat="1" applyFont="1" applyFill="1" applyBorder="1" applyAlignment="1">
      <alignment horizontal="center"/>
    </xf>
    <xf numFmtId="0" fontId="13" fillId="0" borderId="7" xfId="2" applyNumberFormat="1" applyFont="1" applyFill="1" applyBorder="1" applyAlignment="1">
      <alignment horizontal="center"/>
    </xf>
    <xf numFmtId="0" fontId="13" fillId="0" borderId="8" xfId="2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1" xfId="2" applyNumberFormat="1" applyFont="1" applyFill="1" applyBorder="1" applyAlignment="1">
      <alignment horizontal="center"/>
    </xf>
    <xf numFmtId="0" fontId="13" fillId="5" borderId="27" xfId="2" applyNumberFormat="1" applyFont="1" applyFill="1" applyBorder="1" applyAlignment="1">
      <alignment horizontal="center" vertical="center"/>
    </xf>
    <xf numFmtId="0" fontId="13" fillId="5" borderId="28" xfId="2" applyNumberFormat="1" applyFont="1" applyFill="1" applyBorder="1" applyAlignment="1">
      <alignment horizontal="center" vertical="center"/>
    </xf>
    <xf numFmtId="0" fontId="13" fillId="0" borderId="21" xfId="2" applyNumberFormat="1" applyFont="1" applyFill="1" applyBorder="1" applyAlignment="1">
      <alignment horizontal="center"/>
    </xf>
    <xf numFmtId="0" fontId="13" fillId="0" borderId="16" xfId="2" applyNumberFormat="1" applyFont="1" applyFill="1" applyBorder="1" applyAlignment="1">
      <alignment horizontal="center"/>
    </xf>
  </cellXfs>
  <cellStyles count="3">
    <cellStyle name="架設積算" xfId="1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6550;&#35373;&#31309;&#31639;&#12477;&#12501;&#12488;\R2&#24180;&#24230;&#25913;&#35330;\&#31119;&#28006;&#20462;&#27491;\&#12486;&#12473;&#12488;\&#12505;&#12531;&#12488;\01_&#12488;&#12521;&#12483;&#12463;&#12463;&#12524;&#12540;&#12531;&#12505;&#12531;&#12488;&#65288;&#37393;&#2668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作成"/>
      <sheetName val="基本 (2)"/>
      <sheetName val="日数 (2)"/>
      <sheetName val="クレーン (2)"/>
      <sheetName val="日数表 (2)"/>
      <sheetName val="工事費 (2)"/>
      <sheetName val="工程 (2)"/>
      <sheetName val="基本 (1)"/>
      <sheetName val="日数 (1)"/>
      <sheetName val="クレーン (1)"/>
      <sheetName val="日数表 (1)"/>
      <sheetName val="工事費 (1)"/>
      <sheetName val="工程 (1)"/>
      <sheetName val="日数表"/>
      <sheetName val="基本"/>
      <sheetName val="日数"/>
      <sheetName val="クレーン"/>
      <sheetName val="工事費"/>
      <sheetName val="工程"/>
      <sheetName val="表2-3-2"/>
      <sheetName val="表2-3-3"/>
      <sheetName val="表2-3-4"/>
      <sheetName val="表2-3-5"/>
      <sheetName val="表2-3-6"/>
      <sheetName val="表2-3-7"/>
      <sheetName val="労務単価"/>
      <sheetName val="クレーン単価"/>
      <sheetName val="保存シート"/>
    </sheetNames>
    <sheetDataSet>
      <sheetData sheetId="0"/>
      <sheetData sheetId="1">
        <row r="7">
          <cell r="N7">
            <v>119</v>
          </cell>
        </row>
        <row r="10">
          <cell r="D10">
            <v>13</v>
          </cell>
          <cell r="L10">
            <v>11</v>
          </cell>
        </row>
        <row r="12">
          <cell r="D12">
            <v>5</v>
          </cell>
          <cell r="H12">
            <v>2.2999999999999998</v>
          </cell>
          <cell r="L12">
            <v>0.57999999999999996</v>
          </cell>
        </row>
        <row r="14">
          <cell r="D14">
            <v>20</v>
          </cell>
          <cell r="K14">
            <v>50</v>
          </cell>
        </row>
        <row r="16">
          <cell r="K16">
            <v>25</v>
          </cell>
        </row>
        <row r="17">
          <cell r="K17">
            <v>15</v>
          </cell>
        </row>
        <row r="20">
          <cell r="E20">
            <v>20</v>
          </cell>
          <cell r="O20">
            <v>124.5</v>
          </cell>
        </row>
        <row r="22">
          <cell r="H22">
            <v>12</v>
          </cell>
        </row>
        <row r="29">
          <cell r="G29">
            <v>247.1</v>
          </cell>
        </row>
        <row r="30">
          <cell r="P30">
            <v>8.3000000000000007</v>
          </cell>
        </row>
        <row r="34">
          <cell r="G34">
            <v>10</v>
          </cell>
        </row>
        <row r="35">
          <cell r="O35">
            <v>290.7</v>
          </cell>
        </row>
        <row r="40">
          <cell r="C40">
            <v>8.6999999999999993</v>
          </cell>
          <cell r="D40" t="str">
            <v>t÷(</v>
          </cell>
          <cell r="I40">
            <v>13490</v>
          </cell>
        </row>
        <row r="53">
          <cell r="D53">
            <v>8</v>
          </cell>
        </row>
        <row r="54">
          <cell r="D54">
            <v>8</v>
          </cell>
        </row>
        <row r="55">
          <cell r="D55">
            <v>9</v>
          </cell>
        </row>
        <row r="56">
          <cell r="D56">
            <v>9</v>
          </cell>
        </row>
        <row r="57">
          <cell r="D57">
            <v>12</v>
          </cell>
        </row>
        <row r="93">
          <cell r="J93">
            <v>187.08</v>
          </cell>
        </row>
        <row r="105">
          <cell r="F105">
            <v>2.7</v>
          </cell>
        </row>
        <row r="106">
          <cell r="F106">
            <v>21.4</v>
          </cell>
        </row>
        <row r="107">
          <cell r="F107">
            <v>5.2</v>
          </cell>
        </row>
        <row r="109">
          <cell r="F109">
            <v>12.5</v>
          </cell>
        </row>
        <row r="112">
          <cell r="F112">
            <v>8</v>
          </cell>
        </row>
        <row r="113">
          <cell r="F113">
            <v>8.1</v>
          </cell>
        </row>
        <row r="114">
          <cell r="F114">
            <v>2.5</v>
          </cell>
        </row>
        <row r="115">
          <cell r="F115">
            <v>25.4</v>
          </cell>
        </row>
        <row r="116">
          <cell r="F116">
            <v>4.2</v>
          </cell>
        </row>
        <row r="117">
          <cell r="F117">
            <v>9</v>
          </cell>
        </row>
        <row r="131">
          <cell r="D131">
            <v>98</v>
          </cell>
        </row>
        <row r="139">
          <cell r="D139">
            <v>57</v>
          </cell>
        </row>
        <row r="150">
          <cell r="D150">
            <v>4</v>
          </cell>
        </row>
        <row r="159">
          <cell r="D159">
            <v>5.6</v>
          </cell>
        </row>
      </sheetData>
      <sheetData sheetId="2">
        <row r="44">
          <cell r="J44">
            <v>195</v>
          </cell>
        </row>
        <row r="58">
          <cell r="D58">
            <v>2.7</v>
          </cell>
        </row>
        <row r="74">
          <cell r="L74">
            <v>27.3</v>
          </cell>
        </row>
        <row r="75">
          <cell r="L75">
            <v>27.3</v>
          </cell>
        </row>
        <row r="76">
          <cell r="L76">
            <v>30.2</v>
          </cell>
        </row>
        <row r="77">
          <cell r="L77">
            <v>30.2</v>
          </cell>
        </row>
        <row r="78">
          <cell r="L78">
            <v>36.9</v>
          </cell>
        </row>
        <row r="104">
          <cell r="L104">
            <v>151.9</v>
          </cell>
        </row>
        <row r="120">
          <cell r="D120">
            <v>21.4</v>
          </cell>
        </row>
        <row r="141">
          <cell r="D141">
            <v>5.2</v>
          </cell>
        </row>
        <row r="156">
          <cell r="J156">
            <v>12.4</v>
          </cell>
        </row>
        <row r="225">
          <cell r="D225">
            <v>12.5</v>
          </cell>
        </row>
        <row r="234">
          <cell r="F234">
            <v>57.999999999999993</v>
          </cell>
        </row>
        <row r="299">
          <cell r="D299">
            <v>8</v>
          </cell>
        </row>
        <row r="320">
          <cell r="D320">
            <v>8.1</v>
          </cell>
        </row>
        <row r="337">
          <cell r="D337">
            <v>2.5</v>
          </cell>
        </row>
        <row r="354">
          <cell r="M354">
            <v>1547</v>
          </cell>
        </row>
        <row r="360">
          <cell r="Q360">
            <v>15.2</v>
          </cell>
        </row>
        <row r="365">
          <cell r="Q365">
            <v>6.2</v>
          </cell>
        </row>
        <row r="370">
          <cell r="Q370">
            <v>4</v>
          </cell>
        </row>
        <row r="375">
          <cell r="Q375">
            <v>0</v>
          </cell>
        </row>
        <row r="380">
          <cell r="E380">
            <v>25.4</v>
          </cell>
        </row>
        <row r="401">
          <cell r="E401">
            <v>29</v>
          </cell>
        </row>
        <row r="405">
          <cell r="Q405">
            <v>4.2</v>
          </cell>
        </row>
        <row r="414">
          <cell r="E414">
            <v>187.08</v>
          </cell>
        </row>
        <row r="433">
          <cell r="E433">
            <v>9</v>
          </cell>
        </row>
      </sheetData>
      <sheetData sheetId="3">
        <row r="40">
          <cell r="D40">
            <v>100</v>
          </cell>
        </row>
        <row r="80">
          <cell r="D80">
            <v>25</v>
          </cell>
        </row>
      </sheetData>
      <sheetData sheetId="4">
        <row r="7">
          <cell r="H7">
            <v>2.7</v>
          </cell>
          <cell r="J7">
            <v>1</v>
          </cell>
        </row>
        <row r="8">
          <cell r="H8">
            <v>21.4</v>
          </cell>
          <cell r="J8">
            <v>1</v>
          </cell>
        </row>
        <row r="9">
          <cell r="H9">
            <v>5.2</v>
          </cell>
          <cell r="J9">
            <v>1</v>
          </cell>
        </row>
        <row r="11">
          <cell r="H11">
            <v>12.5</v>
          </cell>
          <cell r="J11">
            <v>1</v>
          </cell>
        </row>
        <row r="14">
          <cell r="H14">
            <v>8</v>
          </cell>
          <cell r="J14">
            <v>1</v>
          </cell>
        </row>
        <row r="15">
          <cell r="H15">
            <v>8.1</v>
          </cell>
          <cell r="J15">
            <v>1</v>
          </cell>
        </row>
        <row r="16">
          <cell r="H16">
            <v>2.5</v>
          </cell>
          <cell r="J16">
            <v>1</v>
          </cell>
        </row>
        <row r="23">
          <cell r="H23">
            <v>9</v>
          </cell>
          <cell r="J23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橋梁世話役</v>
          </cell>
          <cell r="C1" t="str">
            <v>橋梁特殊工</v>
          </cell>
          <cell r="D1" t="str">
            <v>普通作業員</v>
          </cell>
          <cell r="E1" t="str">
            <v>特殊運転手</v>
          </cell>
          <cell r="F1" t="str">
            <v>とび工</v>
          </cell>
          <cell r="G1" t="e">
            <v>#N/A</v>
          </cell>
        </row>
        <row r="2">
          <cell r="A2" t="str">
            <v>全国平均</v>
          </cell>
          <cell r="B2">
            <v>33710</v>
          </cell>
          <cell r="C2">
            <v>28930</v>
          </cell>
          <cell r="D2">
            <v>18800</v>
          </cell>
          <cell r="E2">
            <v>22150</v>
          </cell>
          <cell r="F2">
            <v>24300</v>
          </cell>
          <cell r="G2">
            <v>21910</v>
          </cell>
        </row>
        <row r="3">
          <cell r="A3" t="str">
            <v>北海道</v>
          </cell>
          <cell r="B3">
            <v>38400</v>
          </cell>
          <cell r="C3">
            <v>31200</v>
          </cell>
          <cell r="D3">
            <v>17300</v>
          </cell>
          <cell r="E3">
            <v>20700</v>
          </cell>
          <cell r="F3">
            <v>23700</v>
          </cell>
          <cell r="G3">
            <v>21100</v>
          </cell>
        </row>
        <row r="4">
          <cell r="A4" t="str">
            <v>青森県</v>
          </cell>
          <cell r="B4">
            <v>37000</v>
          </cell>
          <cell r="C4">
            <v>30500</v>
          </cell>
          <cell r="D4">
            <v>17900</v>
          </cell>
          <cell r="E4">
            <v>26200</v>
          </cell>
          <cell r="F4">
            <v>24600</v>
          </cell>
          <cell r="G4">
            <v>24300</v>
          </cell>
        </row>
        <row r="5">
          <cell r="A5" t="str">
            <v>岩手県</v>
          </cell>
          <cell r="B5">
            <v>38500</v>
          </cell>
          <cell r="C5">
            <v>30700</v>
          </cell>
          <cell r="D5">
            <v>19300</v>
          </cell>
          <cell r="E5">
            <v>26000</v>
          </cell>
          <cell r="F5">
            <v>23600</v>
          </cell>
          <cell r="G5">
            <v>23400</v>
          </cell>
        </row>
        <row r="6">
          <cell r="A6" t="str">
            <v>宮城県</v>
          </cell>
          <cell r="B6">
            <v>41900</v>
          </cell>
          <cell r="C6">
            <v>30400</v>
          </cell>
          <cell r="D6">
            <v>19200</v>
          </cell>
          <cell r="E6">
            <v>27200</v>
          </cell>
          <cell r="F6">
            <v>26700</v>
          </cell>
          <cell r="G6">
            <v>24800</v>
          </cell>
        </row>
        <row r="7">
          <cell r="A7" t="str">
            <v>秋田県</v>
          </cell>
          <cell r="B7">
            <v>38200</v>
          </cell>
          <cell r="C7">
            <v>31000</v>
          </cell>
          <cell r="D7">
            <v>18100</v>
          </cell>
          <cell r="E7">
            <v>25300</v>
          </cell>
          <cell r="F7">
            <v>24300</v>
          </cell>
          <cell r="G7">
            <v>22900</v>
          </cell>
        </row>
        <row r="8">
          <cell r="A8" t="str">
            <v>山形県</v>
          </cell>
          <cell r="B8">
            <v>37400</v>
          </cell>
          <cell r="C8">
            <v>30900</v>
          </cell>
          <cell r="D8">
            <v>18100</v>
          </cell>
          <cell r="E8">
            <v>23900</v>
          </cell>
          <cell r="F8">
            <v>24400</v>
          </cell>
          <cell r="G8">
            <v>23000</v>
          </cell>
        </row>
        <row r="9">
          <cell r="A9" t="str">
            <v>福島県</v>
          </cell>
          <cell r="B9">
            <v>37400</v>
          </cell>
          <cell r="C9">
            <v>30500</v>
          </cell>
          <cell r="D9">
            <v>19100</v>
          </cell>
          <cell r="E9">
            <v>23100</v>
          </cell>
          <cell r="F9">
            <v>26500</v>
          </cell>
          <cell r="G9">
            <v>24800</v>
          </cell>
        </row>
        <row r="10">
          <cell r="A10" t="str">
            <v>東北平均</v>
          </cell>
          <cell r="B10">
            <v>38400</v>
          </cell>
          <cell r="C10">
            <v>30670</v>
          </cell>
          <cell r="D10">
            <v>18620</v>
          </cell>
          <cell r="E10">
            <v>25280</v>
          </cell>
          <cell r="F10">
            <v>25020</v>
          </cell>
          <cell r="G10">
            <v>23870</v>
          </cell>
        </row>
        <row r="11">
          <cell r="A11" t="str">
            <v>茨城県</v>
          </cell>
          <cell r="B11">
            <v>33500</v>
          </cell>
          <cell r="C11">
            <v>29800</v>
          </cell>
          <cell r="D11">
            <v>20300</v>
          </cell>
          <cell r="E11">
            <v>23700</v>
          </cell>
          <cell r="F11">
            <v>25600</v>
          </cell>
          <cell r="G11">
            <v>21900</v>
          </cell>
        </row>
        <row r="12">
          <cell r="A12" t="str">
            <v>栃木県</v>
          </cell>
          <cell r="B12">
            <v>33800</v>
          </cell>
          <cell r="C12">
            <v>30300</v>
          </cell>
          <cell r="D12">
            <v>19000</v>
          </cell>
          <cell r="E12">
            <v>21300</v>
          </cell>
          <cell r="F12">
            <v>24200</v>
          </cell>
          <cell r="G12">
            <v>21700</v>
          </cell>
        </row>
        <row r="13">
          <cell r="A13" t="str">
            <v>群馬県</v>
          </cell>
          <cell r="B13">
            <v>33800</v>
          </cell>
          <cell r="C13">
            <v>30100</v>
          </cell>
          <cell r="D13">
            <v>20100</v>
          </cell>
          <cell r="E13">
            <v>21700</v>
          </cell>
          <cell r="F13">
            <v>23100</v>
          </cell>
          <cell r="G13">
            <v>21700</v>
          </cell>
        </row>
        <row r="14">
          <cell r="A14" t="str">
            <v>埼玉県</v>
          </cell>
          <cell r="B14">
            <v>34000</v>
          </cell>
          <cell r="C14">
            <v>30900</v>
          </cell>
          <cell r="D14">
            <v>20600</v>
          </cell>
          <cell r="E14">
            <v>24600</v>
          </cell>
          <cell r="F14">
            <v>26700</v>
          </cell>
          <cell r="G14">
            <v>23300</v>
          </cell>
        </row>
        <row r="15">
          <cell r="A15" t="str">
            <v>千葉県</v>
          </cell>
          <cell r="B15">
            <v>34000</v>
          </cell>
          <cell r="C15">
            <v>30300</v>
          </cell>
          <cell r="D15">
            <v>20300</v>
          </cell>
          <cell r="E15">
            <v>24000</v>
          </cell>
          <cell r="F15">
            <v>27700</v>
          </cell>
          <cell r="G15">
            <v>24100</v>
          </cell>
        </row>
        <row r="16">
          <cell r="A16" t="str">
            <v>東京都</v>
          </cell>
          <cell r="B16">
            <v>34400</v>
          </cell>
          <cell r="C16">
            <v>30000</v>
          </cell>
          <cell r="D16">
            <v>21500</v>
          </cell>
          <cell r="E16">
            <v>24200</v>
          </cell>
          <cell r="F16">
            <v>27300</v>
          </cell>
          <cell r="G16">
            <v>24600</v>
          </cell>
        </row>
        <row r="17">
          <cell r="A17" t="str">
            <v>神奈川県</v>
          </cell>
          <cell r="B17">
            <v>33700</v>
          </cell>
          <cell r="C17">
            <v>29800</v>
          </cell>
          <cell r="D17">
            <v>21500</v>
          </cell>
          <cell r="E17">
            <v>25200</v>
          </cell>
          <cell r="F17">
            <v>27500</v>
          </cell>
          <cell r="G17">
            <v>24900</v>
          </cell>
        </row>
        <row r="18">
          <cell r="A18" t="str">
            <v>山梨県</v>
          </cell>
          <cell r="B18">
            <v>33100</v>
          </cell>
          <cell r="C18">
            <v>30000</v>
          </cell>
          <cell r="D18">
            <v>21300</v>
          </cell>
          <cell r="E18">
            <v>24200</v>
          </cell>
          <cell r="F18">
            <v>24500</v>
          </cell>
          <cell r="G18">
            <v>23700</v>
          </cell>
        </row>
        <row r="19">
          <cell r="A19" t="str">
            <v>長野県</v>
          </cell>
          <cell r="B19">
            <v>32700</v>
          </cell>
          <cell r="C19">
            <v>30300</v>
          </cell>
          <cell r="D19">
            <v>19700</v>
          </cell>
          <cell r="E19">
            <v>21700</v>
          </cell>
          <cell r="F19">
            <v>24100</v>
          </cell>
          <cell r="G19">
            <v>22800</v>
          </cell>
        </row>
        <row r="20">
          <cell r="A20" t="str">
            <v>関東平均</v>
          </cell>
          <cell r="B20">
            <v>33670</v>
          </cell>
          <cell r="C20">
            <v>30170</v>
          </cell>
          <cell r="D20">
            <v>20480</v>
          </cell>
          <cell r="E20">
            <v>22300</v>
          </cell>
          <cell r="F20">
            <v>25630</v>
          </cell>
          <cell r="G20">
            <v>23190</v>
          </cell>
        </row>
        <row r="21">
          <cell r="A21" t="str">
            <v>新潟県</v>
          </cell>
          <cell r="B21">
            <v>33300</v>
          </cell>
          <cell r="C21">
            <v>29400</v>
          </cell>
          <cell r="D21">
            <v>19000</v>
          </cell>
          <cell r="E21">
            <v>22300</v>
          </cell>
          <cell r="F21">
            <v>23500</v>
          </cell>
          <cell r="G21">
            <v>22500</v>
          </cell>
        </row>
        <row r="22">
          <cell r="A22" t="str">
            <v>富山県</v>
          </cell>
          <cell r="B22">
            <v>34200</v>
          </cell>
          <cell r="C22">
            <v>29200</v>
          </cell>
          <cell r="D22">
            <v>20100</v>
          </cell>
          <cell r="E22">
            <v>23500</v>
          </cell>
          <cell r="F22">
            <v>26300</v>
          </cell>
          <cell r="G22">
            <v>25000</v>
          </cell>
        </row>
        <row r="23">
          <cell r="A23" t="str">
            <v>石川県</v>
          </cell>
          <cell r="B23">
            <v>34800</v>
          </cell>
          <cell r="C23">
            <v>29400</v>
          </cell>
          <cell r="D23">
            <v>20700</v>
          </cell>
          <cell r="E23">
            <v>22900</v>
          </cell>
          <cell r="F23">
            <v>26400</v>
          </cell>
          <cell r="G23">
            <v>24100</v>
          </cell>
        </row>
        <row r="24">
          <cell r="A24" t="str">
            <v>北陸平均</v>
          </cell>
          <cell r="B24">
            <v>34100</v>
          </cell>
          <cell r="C24">
            <v>29330</v>
          </cell>
          <cell r="D24">
            <v>19930</v>
          </cell>
          <cell r="E24">
            <v>22900</v>
          </cell>
          <cell r="F24">
            <v>25400</v>
          </cell>
          <cell r="G24">
            <v>23870</v>
          </cell>
        </row>
        <row r="25">
          <cell r="A25" t="str">
            <v>岐阜県</v>
          </cell>
          <cell r="B25">
            <v>33400</v>
          </cell>
          <cell r="C25">
            <v>29700</v>
          </cell>
          <cell r="D25">
            <v>20300</v>
          </cell>
          <cell r="E25">
            <v>23600</v>
          </cell>
          <cell r="F25">
            <v>25800</v>
          </cell>
          <cell r="G25">
            <v>22800</v>
          </cell>
        </row>
        <row r="26">
          <cell r="A26" t="str">
            <v>静岡県</v>
          </cell>
          <cell r="B26">
            <v>33700</v>
          </cell>
          <cell r="C26">
            <v>30500</v>
          </cell>
          <cell r="D26">
            <v>21400</v>
          </cell>
          <cell r="E26">
            <v>23100</v>
          </cell>
          <cell r="F26">
            <v>25000</v>
          </cell>
          <cell r="G26">
            <v>22600</v>
          </cell>
        </row>
        <row r="27">
          <cell r="A27" t="str">
            <v>愛知県</v>
          </cell>
          <cell r="B27">
            <v>32900</v>
          </cell>
          <cell r="C27">
            <v>29600</v>
          </cell>
          <cell r="D27">
            <v>20300</v>
          </cell>
          <cell r="E27">
            <v>23300</v>
          </cell>
          <cell r="F27">
            <v>26600</v>
          </cell>
          <cell r="G27">
            <v>23700</v>
          </cell>
        </row>
        <row r="28">
          <cell r="A28" t="str">
            <v>三重県</v>
          </cell>
          <cell r="B28">
            <v>34300</v>
          </cell>
          <cell r="C28">
            <v>29700</v>
          </cell>
          <cell r="D28">
            <v>19600</v>
          </cell>
          <cell r="E28">
            <v>22900</v>
          </cell>
          <cell r="F28">
            <v>27200</v>
          </cell>
          <cell r="G28">
            <v>22700</v>
          </cell>
        </row>
        <row r="29">
          <cell r="A29" t="str">
            <v>中部平均</v>
          </cell>
          <cell r="B29">
            <v>33580</v>
          </cell>
          <cell r="C29">
            <v>29880</v>
          </cell>
          <cell r="D29">
            <v>20400</v>
          </cell>
          <cell r="E29">
            <v>23230</v>
          </cell>
          <cell r="F29">
            <v>26150</v>
          </cell>
          <cell r="G29">
            <v>22950</v>
          </cell>
        </row>
        <row r="30">
          <cell r="A30" t="str">
            <v>福井県</v>
          </cell>
          <cell r="B30">
            <v>32600</v>
          </cell>
          <cell r="C30">
            <v>28000</v>
          </cell>
          <cell r="D30">
            <v>17300</v>
          </cell>
          <cell r="E30">
            <v>19700</v>
          </cell>
          <cell r="F30">
            <v>22200</v>
          </cell>
          <cell r="G30">
            <v>20400</v>
          </cell>
        </row>
        <row r="31">
          <cell r="A31" t="str">
            <v>滋賀県</v>
          </cell>
          <cell r="B31">
            <v>32400</v>
          </cell>
          <cell r="C31">
            <v>27900</v>
          </cell>
          <cell r="D31">
            <v>18600</v>
          </cell>
          <cell r="E31">
            <v>20900</v>
          </cell>
          <cell r="F31">
            <v>23700</v>
          </cell>
          <cell r="G31">
            <v>20700</v>
          </cell>
        </row>
        <row r="32">
          <cell r="A32" t="str">
            <v>京都府</v>
          </cell>
          <cell r="B32">
            <v>32400</v>
          </cell>
          <cell r="C32">
            <v>27900</v>
          </cell>
          <cell r="D32">
            <v>19400</v>
          </cell>
          <cell r="E32">
            <v>19800</v>
          </cell>
          <cell r="F32">
            <v>23400</v>
          </cell>
          <cell r="G32">
            <v>20200</v>
          </cell>
        </row>
        <row r="33">
          <cell r="A33" t="str">
            <v>大阪府</v>
          </cell>
          <cell r="B33">
            <v>33000</v>
          </cell>
          <cell r="C33">
            <v>28200</v>
          </cell>
          <cell r="D33">
            <v>19000</v>
          </cell>
          <cell r="E33">
            <v>21300</v>
          </cell>
          <cell r="F33">
            <v>24800</v>
          </cell>
          <cell r="G33">
            <v>21500</v>
          </cell>
        </row>
        <row r="34">
          <cell r="A34" t="str">
            <v>兵庫県</v>
          </cell>
          <cell r="B34">
            <v>32700</v>
          </cell>
          <cell r="C34">
            <v>28200</v>
          </cell>
          <cell r="D34">
            <v>19200</v>
          </cell>
          <cell r="E34">
            <v>20100</v>
          </cell>
          <cell r="F34">
            <v>23700</v>
          </cell>
          <cell r="G34">
            <v>19400</v>
          </cell>
        </row>
        <row r="35">
          <cell r="A35" t="str">
            <v>奈良県</v>
          </cell>
          <cell r="B35">
            <v>32300</v>
          </cell>
          <cell r="C35">
            <v>27900</v>
          </cell>
          <cell r="D35">
            <v>19100</v>
          </cell>
          <cell r="E35">
            <v>20700</v>
          </cell>
          <cell r="F35">
            <v>24200</v>
          </cell>
          <cell r="G35">
            <v>21700</v>
          </cell>
        </row>
        <row r="36">
          <cell r="A36" t="str">
            <v>和歌山県</v>
          </cell>
          <cell r="B36">
            <v>32300</v>
          </cell>
          <cell r="C36">
            <v>27900</v>
          </cell>
          <cell r="D36">
            <v>19300</v>
          </cell>
          <cell r="E36">
            <v>19400</v>
          </cell>
          <cell r="F36">
            <v>24000</v>
          </cell>
          <cell r="G36">
            <v>21000</v>
          </cell>
        </row>
        <row r="37">
          <cell r="A37" t="str">
            <v>近畿平均</v>
          </cell>
          <cell r="B37">
            <v>32530</v>
          </cell>
          <cell r="C37">
            <v>28000</v>
          </cell>
          <cell r="D37">
            <v>18840</v>
          </cell>
          <cell r="E37">
            <v>20270</v>
          </cell>
          <cell r="F37">
            <v>23710</v>
          </cell>
          <cell r="G37">
            <v>20700</v>
          </cell>
        </row>
        <row r="38">
          <cell r="A38" t="str">
            <v>鳥取県</v>
          </cell>
          <cell r="B38">
            <v>30200</v>
          </cell>
          <cell r="C38">
            <v>26300</v>
          </cell>
          <cell r="D38">
            <v>15000</v>
          </cell>
          <cell r="E38">
            <v>17300</v>
          </cell>
          <cell r="F38">
            <v>21800</v>
          </cell>
          <cell r="G38">
            <v>18500</v>
          </cell>
        </row>
        <row r="39">
          <cell r="A39" t="str">
            <v>島根県</v>
          </cell>
          <cell r="B39">
            <v>29900</v>
          </cell>
          <cell r="C39">
            <v>26300</v>
          </cell>
          <cell r="D39">
            <v>16200</v>
          </cell>
          <cell r="E39">
            <v>18800</v>
          </cell>
          <cell r="F39">
            <v>21700</v>
          </cell>
          <cell r="G39">
            <v>18800</v>
          </cell>
        </row>
        <row r="40">
          <cell r="A40" t="str">
            <v>岡山県</v>
          </cell>
          <cell r="B40">
            <v>30000</v>
          </cell>
          <cell r="C40">
            <v>26400</v>
          </cell>
          <cell r="D40">
            <v>17500</v>
          </cell>
          <cell r="E40">
            <v>20200</v>
          </cell>
          <cell r="F40">
            <v>22500</v>
          </cell>
          <cell r="G40">
            <v>19900</v>
          </cell>
        </row>
        <row r="41">
          <cell r="A41" t="str">
            <v>広島県</v>
          </cell>
          <cell r="B41">
            <v>30100</v>
          </cell>
          <cell r="C41">
            <v>26400</v>
          </cell>
          <cell r="D41">
            <v>18300</v>
          </cell>
          <cell r="E41">
            <v>20600</v>
          </cell>
          <cell r="F41">
            <v>22200</v>
          </cell>
          <cell r="G41">
            <v>20200</v>
          </cell>
        </row>
        <row r="42">
          <cell r="A42" t="str">
            <v>山口県</v>
          </cell>
          <cell r="B42">
            <v>30100</v>
          </cell>
          <cell r="C42">
            <v>26500</v>
          </cell>
          <cell r="D42">
            <v>16800</v>
          </cell>
          <cell r="E42">
            <v>19100</v>
          </cell>
          <cell r="F42">
            <v>22300</v>
          </cell>
          <cell r="G42">
            <v>18800</v>
          </cell>
        </row>
        <row r="43">
          <cell r="A43" t="str">
            <v>中国平均</v>
          </cell>
          <cell r="B43">
            <v>30060</v>
          </cell>
          <cell r="C43">
            <v>26380</v>
          </cell>
          <cell r="D43">
            <v>16760</v>
          </cell>
          <cell r="E43">
            <v>19200</v>
          </cell>
          <cell r="F43">
            <v>22100</v>
          </cell>
          <cell r="G43">
            <v>19240</v>
          </cell>
        </row>
        <row r="44">
          <cell r="A44" t="str">
            <v>徳島県</v>
          </cell>
          <cell r="B44">
            <v>30300</v>
          </cell>
          <cell r="C44">
            <v>27400</v>
          </cell>
          <cell r="D44">
            <v>18500</v>
          </cell>
          <cell r="E44">
            <v>18500</v>
          </cell>
          <cell r="F44">
            <v>22600</v>
          </cell>
          <cell r="G44">
            <v>20700</v>
          </cell>
        </row>
        <row r="45">
          <cell r="A45" t="str">
            <v>香川県</v>
          </cell>
          <cell r="B45">
            <v>30600</v>
          </cell>
          <cell r="C45">
            <v>27300</v>
          </cell>
          <cell r="D45">
            <v>19000</v>
          </cell>
          <cell r="E45">
            <v>19900</v>
          </cell>
          <cell r="F45">
            <v>22700</v>
          </cell>
          <cell r="G45">
            <v>21500</v>
          </cell>
        </row>
        <row r="46">
          <cell r="A46" t="str">
            <v>愛媛県</v>
          </cell>
          <cell r="B46">
            <v>29500</v>
          </cell>
          <cell r="C46">
            <v>27100</v>
          </cell>
          <cell r="D46">
            <v>16600</v>
          </cell>
          <cell r="E46">
            <v>20200</v>
          </cell>
          <cell r="F46">
            <v>22500</v>
          </cell>
          <cell r="G46">
            <v>20300</v>
          </cell>
        </row>
        <row r="47">
          <cell r="A47" t="str">
            <v>高知県</v>
          </cell>
          <cell r="B47">
            <v>30300</v>
          </cell>
          <cell r="C47">
            <v>27400</v>
          </cell>
          <cell r="D47">
            <v>17000</v>
          </cell>
          <cell r="E47">
            <v>20600</v>
          </cell>
          <cell r="F47">
            <v>23000</v>
          </cell>
          <cell r="G47">
            <v>20100</v>
          </cell>
        </row>
        <row r="48">
          <cell r="A48" t="str">
            <v>四国平均</v>
          </cell>
          <cell r="B48">
            <v>30180</v>
          </cell>
          <cell r="C48">
            <v>27300</v>
          </cell>
          <cell r="D48">
            <v>17780</v>
          </cell>
          <cell r="E48">
            <v>19800</v>
          </cell>
          <cell r="F48">
            <v>22700</v>
          </cell>
          <cell r="G48">
            <v>20650</v>
          </cell>
        </row>
        <row r="49">
          <cell r="A49" t="str">
            <v>福岡県</v>
          </cell>
          <cell r="B49">
            <v>34000</v>
          </cell>
          <cell r="C49">
            <v>27800</v>
          </cell>
          <cell r="D49">
            <v>19500</v>
          </cell>
          <cell r="E49">
            <v>21300</v>
          </cell>
          <cell r="F49">
            <v>23800</v>
          </cell>
          <cell r="G49">
            <v>21900</v>
          </cell>
        </row>
        <row r="50">
          <cell r="A50" t="str">
            <v>佐賀県</v>
          </cell>
          <cell r="B50">
            <v>34200</v>
          </cell>
          <cell r="C50">
            <v>27800</v>
          </cell>
          <cell r="D50">
            <v>16700</v>
          </cell>
          <cell r="E50">
            <v>23400</v>
          </cell>
          <cell r="F50">
            <v>22300</v>
          </cell>
          <cell r="G50">
            <v>19300</v>
          </cell>
        </row>
        <row r="51">
          <cell r="A51" t="str">
            <v>長崎県</v>
          </cell>
          <cell r="B51">
            <v>34200</v>
          </cell>
          <cell r="C51">
            <v>27800</v>
          </cell>
          <cell r="D51">
            <v>17600</v>
          </cell>
          <cell r="E51">
            <v>20000</v>
          </cell>
          <cell r="F51">
            <v>22200</v>
          </cell>
          <cell r="G51">
            <v>20200</v>
          </cell>
        </row>
        <row r="52">
          <cell r="A52" t="str">
            <v>熊本県</v>
          </cell>
          <cell r="B52">
            <v>33100</v>
          </cell>
          <cell r="C52">
            <v>27800</v>
          </cell>
          <cell r="D52">
            <v>18000</v>
          </cell>
          <cell r="E52">
            <v>20800</v>
          </cell>
          <cell r="F52">
            <v>23300</v>
          </cell>
          <cell r="G52">
            <v>20600</v>
          </cell>
        </row>
        <row r="53">
          <cell r="A53" t="str">
            <v>大分県</v>
          </cell>
          <cell r="B53">
            <v>33500</v>
          </cell>
          <cell r="C53">
            <v>27800</v>
          </cell>
          <cell r="D53">
            <v>16800</v>
          </cell>
          <cell r="E53">
            <v>22200</v>
          </cell>
          <cell r="F53">
            <v>22900</v>
          </cell>
          <cell r="G53">
            <v>19600</v>
          </cell>
        </row>
        <row r="54">
          <cell r="A54" t="str">
            <v>宮崎県</v>
          </cell>
          <cell r="B54">
            <v>34000</v>
          </cell>
          <cell r="C54">
            <v>27800</v>
          </cell>
          <cell r="D54">
            <v>16400</v>
          </cell>
          <cell r="E54">
            <v>22200</v>
          </cell>
          <cell r="F54">
            <v>23100</v>
          </cell>
          <cell r="G54">
            <v>21900</v>
          </cell>
        </row>
        <row r="55">
          <cell r="A55" t="str">
            <v>鹿児島県</v>
          </cell>
          <cell r="B55">
            <v>34400</v>
          </cell>
          <cell r="C55">
            <v>27800</v>
          </cell>
          <cell r="D55">
            <v>17700</v>
          </cell>
          <cell r="E55">
            <v>24600</v>
          </cell>
          <cell r="F55">
            <v>23500</v>
          </cell>
          <cell r="G55">
            <v>24100</v>
          </cell>
        </row>
        <row r="56">
          <cell r="A56" t="str">
            <v>九州平均</v>
          </cell>
          <cell r="B56">
            <v>33910</v>
          </cell>
          <cell r="C56">
            <v>27800</v>
          </cell>
          <cell r="D56">
            <v>17530</v>
          </cell>
          <cell r="E56">
            <v>22070</v>
          </cell>
          <cell r="F56">
            <v>23010</v>
          </cell>
          <cell r="G56">
            <v>21090</v>
          </cell>
        </row>
        <row r="57">
          <cell r="A57" t="str">
            <v>沖縄県</v>
          </cell>
          <cell r="B57">
            <v>40100</v>
          </cell>
          <cell r="C57">
            <v>33600</v>
          </cell>
          <cell r="D57">
            <v>19300</v>
          </cell>
          <cell r="E57">
            <v>24900</v>
          </cell>
          <cell r="F57">
            <v>28500</v>
          </cell>
          <cell r="G57">
            <v>21900</v>
          </cell>
        </row>
      </sheetData>
      <sheetData sheetId="26">
        <row r="1">
          <cell r="B1">
            <v>16</v>
          </cell>
          <cell r="C1">
            <v>20</v>
          </cell>
          <cell r="D1">
            <v>25</v>
          </cell>
          <cell r="E1">
            <v>35</v>
          </cell>
          <cell r="F1">
            <v>45</v>
          </cell>
          <cell r="G1">
            <v>50</v>
          </cell>
          <cell r="H1">
            <v>60</v>
          </cell>
          <cell r="I1">
            <v>65</v>
          </cell>
          <cell r="J1">
            <v>100</v>
          </cell>
          <cell r="K1">
            <v>120</v>
          </cell>
          <cell r="L1">
            <v>160</v>
          </cell>
          <cell r="M1">
            <v>200</v>
          </cell>
          <cell r="N1">
            <v>360</v>
          </cell>
        </row>
        <row r="2">
          <cell r="A2" t="str">
            <v>全国平均</v>
          </cell>
          <cell r="B2">
            <v>47500</v>
          </cell>
          <cell r="C2">
            <v>49000</v>
          </cell>
          <cell r="D2">
            <v>53200</v>
          </cell>
          <cell r="E2">
            <v>74600</v>
          </cell>
          <cell r="F2">
            <v>88000</v>
          </cell>
          <cell r="G2">
            <v>92600</v>
          </cell>
          <cell r="H2">
            <v>105300</v>
          </cell>
          <cell r="I2">
            <v>118100</v>
          </cell>
          <cell r="J2">
            <v>201900</v>
          </cell>
          <cell r="K2">
            <v>232300</v>
          </cell>
          <cell r="L2">
            <v>324300</v>
          </cell>
          <cell r="M2">
            <v>450300</v>
          </cell>
          <cell r="N2">
            <v>772300</v>
          </cell>
        </row>
        <row r="3">
          <cell r="A3" t="str">
            <v>北海道</v>
          </cell>
          <cell r="B3">
            <v>51000</v>
          </cell>
          <cell r="C3">
            <v>52000</v>
          </cell>
          <cell r="D3">
            <v>57000</v>
          </cell>
          <cell r="E3">
            <v>79000</v>
          </cell>
          <cell r="F3">
            <v>94000</v>
          </cell>
          <cell r="G3">
            <v>10000</v>
          </cell>
          <cell r="H3">
            <v>112000</v>
          </cell>
          <cell r="I3">
            <v>120000</v>
          </cell>
          <cell r="J3">
            <v>230000</v>
          </cell>
          <cell r="K3">
            <v>263000</v>
          </cell>
          <cell r="L3">
            <v>354000</v>
          </cell>
          <cell r="M3">
            <v>485000</v>
          </cell>
          <cell r="N3">
            <v>800000</v>
          </cell>
        </row>
        <row r="4">
          <cell r="A4" t="str">
            <v>青森県</v>
          </cell>
          <cell r="B4">
            <v>51000</v>
          </cell>
          <cell r="C4">
            <v>53000</v>
          </cell>
          <cell r="D4">
            <v>58000</v>
          </cell>
          <cell r="E4">
            <v>80000</v>
          </cell>
          <cell r="F4">
            <v>92000</v>
          </cell>
          <cell r="G4">
            <v>99000</v>
          </cell>
          <cell r="H4">
            <v>110000</v>
          </cell>
          <cell r="I4">
            <v>120000</v>
          </cell>
          <cell r="J4">
            <v>210000</v>
          </cell>
          <cell r="K4">
            <v>240000</v>
          </cell>
          <cell r="L4">
            <v>340000</v>
          </cell>
          <cell r="M4">
            <v>450000</v>
          </cell>
          <cell r="N4">
            <v>800000</v>
          </cell>
        </row>
        <row r="5">
          <cell r="A5" t="str">
            <v>岩手県</v>
          </cell>
          <cell r="B5">
            <v>51000</v>
          </cell>
          <cell r="C5">
            <v>53000</v>
          </cell>
          <cell r="D5">
            <v>58000</v>
          </cell>
          <cell r="E5">
            <v>80000</v>
          </cell>
          <cell r="F5">
            <v>92000</v>
          </cell>
          <cell r="G5">
            <v>99000</v>
          </cell>
          <cell r="H5">
            <v>110000</v>
          </cell>
          <cell r="I5">
            <v>120000</v>
          </cell>
          <cell r="J5">
            <v>210000</v>
          </cell>
          <cell r="K5">
            <v>240000</v>
          </cell>
          <cell r="L5">
            <v>340000</v>
          </cell>
          <cell r="M5">
            <v>450000</v>
          </cell>
          <cell r="N5">
            <v>800000</v>
          </cell>
        </row>
        <row r="6">
          <cell r="A6" t="str">
            <v>宮城県</v>
          </cell>
          <cell r="B6">
            <v>51000</v>
          </cell>
          <cell r="C6">
            <v>53000</v>
          </cell>
          <cell r="D6">
            <v>58000</v>
          </cell>
          <cell r="E6">
            <v>80000</v>
          </cell>
          <cell r="F6">
            <v>92000</v>
          </cell>
          <cell r="G6">
            <v>99000</v>
          </cell>
          <cell r="H6">
            <v>110000</v>
          </cell>
          <cell r="I6">
            <v>120000</v>
          </cell>
          <cell r="J6">
            <v>210000</v>
          </cell>
          <cell r="K6">
            <v>240000</v>
          </cell>
          <cell r="L6">
            <v>340000</v>
          </cell>
          <cell r="M6">
            <v>450000</v>
          </cell>
          <cell r="N6">
            <v>800000</v>
          </cell>
        </row>
        <row r="7">
          <cell r="A7" t="str">
            <v>秋田県</v>
          </cell>
          <cell r="B7">
            <v>51000</v>
          </cell>
          <cell r="C7">
            <v>53000</v>
          </cell>
          <cell r="D7">
            <v>58000</v>
          </cell>
          <cell r="E7">
            <v>80000</v>
          </cell>
          <cell r="F7">
            <v>92000</v>
          </cell>
          <cell r="G7">
            <v>99000</v>
          </cell>
          <cell r="H7">
            <v>110000</v>
          </cell>
          <cell r="I7">
            <v>120000</v>
          </cell>
          <cell r="J7">
            <v>210000</v>
          </cell>
          <cell r="K7">
            <v>240000</v>
          </cell>
          <cell r="L7">
            <v>340000</v>
          </cell>
          <cell r="M7">
            <v>450000</v>
          </cell>
          <cell r="N7">
            <v>800000</v>
          </cell>
        </row>
        <row r="8">
          <cell r="A8" t="str">
            <v>山形県</v>
          </cell>
          <cell r="B8">
            <v>51000</v>
          </cell>
          <cell r="C8">
            <v>53000</v>
          </cell>
          <cell r="D8">
            <v>58000</v>
          </cell>
          <cell r="E8">
            <v>80000</v>
          </cell>
          <cell r="F8">
            <v>92000</v>
          </cell>
          <cell r="G8">
            <v>99000</v>
          </cell>
          <cell r="H8">
            <v>110000</v>
          </cell>
          <cell r="I8">
            <v>120000</v>
          </cell>
          <cell r="J8">
            <v>210000</v>
          </cell>
          <cell r="K8">
            <v>240000</v>
          </cell>
          <cell r="L8">
            <v>340000</v>
          </cell>
          <cell r="M8">
            <v>450000</v>
          </cell>
          <cell r="N8">
            <v>800000</v>
          </cell>
        </row>
        <row r="9">
          <cell r="A9" t="str">
            <v>福島県</v>
          </cell>
          <cell r="B9">
            <v>51000</v>
          </cell>
          <cell r="C9">
            <v>53000</v>
          </cell>
          <cell r="D9">
            <v>58000</v>
          </cell>
          <cell r="E9">
            <v>80000</v>
          </cell>
          <cell r="F9">
            <v>92000</v>
          </cell>
          <cell r="G9">
            <v>99000</v>
          </cell>
          <cell r="H9">
            <v>110000</v>
          </cell>
          <cell r="I9">
            <v>120000</v>
          </cell>
          <cell r="J9">
            <v>210000</v>
          </cell>
          <cell r="K9">
            <v>240000</v>
          </cell>
          <cell r="L9">
            <v>340000</v>
          </cell>
          <cell r="M9">
            <v>450000</v>
          </cell>
          <cell r="N9">
            <v>800000</v>
          </cell>
        </row>
        <row r="10">
          <cell r="A10" t="str">
            <v>東北平均</v>
          </cell>
          <cell r="B10">
            <v>51000</v>
          </cell>
          <cell r="C10">
            <v>53000</v>
          </cell>
          <cell r="D10">
            <v>58000</v>
          </cell>
          <cell r="E10">
            <v>80000</v>
          </cell>
          <cell r="F10">
            <v>92000</v>
          </cell>
          <cell r="G10">
            <v>99000</v>
          </cell>
          <cell r="H10">
            <v>110000</v>
          </cell>
          <cell r="I10">
            <v>120000</v>
          </cell>
          <cell r="J10">
            <v>210000</v>
          </cell>
          <cell r="K10">
            <v>240000</v>
          </cell>
          <cell r="L10">
            <v>340000</v>
          </cell>
          <cell r="M10">
            <v>450000</v>
          </cell>
          <cell r="N10">
            <v>800000</v>
          </cell>
        </row>
        <row r="11">
          <cell r="A11" t="str">
            <v>茨城県</v>
          </cell>
          <cell r="B11">
            <v>48000</v>
          </cell>
          <cell r="C11">
            <v>50000</v>
          </cell>
          <cell r="D11">
            <v>53000</v>
          </cell>
          <cell r="E11">
            <v>73000</v>
          </cell>
          <cell r="F11">
            <v>90000</v>
          </cell>
          <cell r="G11">
            <v>95000</v>
          </cell>
          <cell r="H11">
            <v>106000</v>
          </cell>
          <cell r="I11">
            <v>115000</v>
          </cell>
          <cell r="J11">
            <v>200000</v>
          </cell>
          <cell r="K11">
            <v>225000</v>
          </cell>
          <cell r="L11">
            <v>310000</v>
          </cell>
          <cell r="M11">
            <v>430000</v>
          </cell>
          <cell r="N11">
            <v>750000</v>
          </cell>
        </row>
        <row r="12">
          <cell r="A12" t="str">
            <v>栃木県</v>
          </cell>
          <cell r="B12">
            <v>48000</v>
          </cell>
          <cell r="C12">
            <v>50000</v>
          </cell>
          <cell r="D12">
            <v>53000</v>
          </cell>
          <cell r="E12">
            <v>73000</v>
          </cell>
          <cell r="F12">
            <v>90000</v>
          </cell>
          <cell r="G12">
            <v>95000</v>
          </cell>
          <cell r="H12">
            <v>106000</v>
          </cell>
          <cell r="I12">
            <v>115000</v>
          </cell>
          <cell r="J12">
            <v>200000</v>
          </cell>
          <cell r="K12">
            <v>225000</v>
          </cell>
          <cell r="L12">
            <v>310000</v>
          </cell>
          <cell r="M12">
            <v>430000</v>
          </cell>
          <cell r="N12">
            <v>750000</v>
          </cell>
        </row>
        <row r="13">
          <cell r="A13" t="str">
            <v>群馬県</v>
          </cell>
          <cell r="B13">
            <v>48000</v>
          </cell>
          <cell r="C13">
            <v>50000</v>
          </cell>
          <cell r="D13">
            <v>53000</v>
          </cell>
          <cell r="E13">
            <v>73000</v>
          </cell>
          <cell r="F13">
            <v>90000</v>
          </cell>
          <cell r="G13">
            <v>95000</v>
          </cell>
          <cell r="H13">
            <v>106000</v>
          </cell>
          <cell r="I13">
            <v>115000</v>
          </cell>
          <cell r="J13">
            <v>200000</v>
          </cell>
          <cell r="K13">
            <v>225000</v>
          </cell>
          <cell r="L13">
            <v>310000</v>
          </cell>
          <cell r="M13">
            <v>430000</v>
          </cell>
          <cell r="N13">
            <v>750000</v>
          </cell>
        </row>
        <row r="14">
          <cell r="A14" t="str">
            <v>埼玉県</v>
          </cell>
          <cell r="B14">
            <v>48000</v>
          </cell>
          <cell r="C14">
            <v>50000</v>
          </cell>
          <cell r="D14">
            <v>53000</v>
          </cell>
          <cell r="E14">
            <v>73000</v>
          </cell>
          <cell r="F14">
            <v>90000</v>
          </cell>
          <cell r="G14">
            <v>95000</v>
          </cell>
          <cell r="H14">
            <v>106000</v>
          </cell>
          <cell r="I14">
            <v>115000</v>
          </cell>
          <cell r="J14">
            <v>200000</v>
          </cell>
          <cell r="K14">
            <v>225000</v>
          </cell>
          <cell r="L14">
            <v>310000</v>
          </cell>
          <cell r="M14">
            <v>430000</v>
          </cell>
          <cell r="N14">
            <v>750000</v>
          </cell>
        </row>
        <row r="15">
          <cell r="A15" t="str">
            <v>千葉県</v>
          </cell>
          <cell r="B15">
            <v>48000</v>
          </cell>
          <cell r="C15">
            <v>50000</v>
          </cell>
          <cell r="D15">
            <v>53000</v>
          </cell>
          <cell r="E15">
            <v>73000</v>
          </cell>
          <cell r="F15">
            <v>90000</v>
          </cell>
          <cell r="G15">
            <v>95000</v>
          </cell>
          <cell r="H15">
            <v>106000</v>
          </cell>
          <cell r="I15">
            <v>115000</v>
          </cell>
          <cell r="J15">
            <v>200000</v>
          </cell>
          <cell r="K15">
            <v>225000</v>
          </cell>
          <cell r="L15">
            <v>310000</v>
          </cell>
          <cell r="M15">
            <v>430000</v>
          </cell>
          <cell r="N15">
            <v>750000</v>
          </cell>
        </row>
        <row r="16">
          <cell r="A16" t="str">
            <v>東京都</v>
          </cell>
          <cell r="B16">
            <v>48000</v>
          </cell>
          <cell r="C16">
            <v>50000</v>
          </cell>
          <cell r="D16">
            <v>53000</v>
          </cell>
          <cell r="E16">
            <v>73000</v>
          </cell>
          <cell r="F16">
            <v>90000</v>
          </cell>
          <cell r="G16">
            <v>95000</v>
          </cell>
          <cell r="H16">
            <v>106000</v>
          </cell>
          <cell r="I16">
            <v>115000</v>
          </cell>
          <cell r="J16">
            <v>200000</v>
          </cell>
          <cell r="K16">
            <v>225000</v>
          </cell>
          <cell r="L16">
            <v>310000</v>
          </cell>
          <cell r="M16">
            <v>430000</v>
          </cell>
          <cell r="N16">
            <v>750000</v>
          </cell>
        </row>
        <row r="17">
          <cell r="A17" t="str">
            <v>神奈川県</v>
          </cell>
          <cell r="B17">
            <v>48000</v>
          </cell>
          <cell r="C17">
            <v>50000</v>
          </cell>
          <cell r="D17">
            <v>53000</v>
          </cell>
          <cell r="E17">
            <v>73000</v>
          </cell>
          <cell r="F17">
            <v>90000</v>
          </cell>
          <cell r="G17">
            <v>95000</v>
          </cell>
          <cell r="H17">
            <v>106000</v>
          </cell>
          <cell r="I17">
            <v>115000</v>
          </cell>
          <cell r="J17">
            <v>200000</v>
          </cell>
          <cell r="K17">
            <v>225000</v>
          </cell>
          <cell r="L17">
            <v>310000</v>
          </cell>
          <cell r="M17">
            <v>430000</v>
          </cell>
          <cell r="N17">
            <v>750000</v>
          </cell>
        </row>
        <row r="18">
          <cell r="A18" t="str">
            <v>山梨県</v>
          </cell>
          <cell r="B18">
            <v>48000</v>
          </cell>
          <cell r="C18">
            <v>50000</v>
          </cell>
          <cell r="D18">
            <v>53000</v>
          </cell>
          <cell r="E18">
            <v>73000</v>
          </cell>
          <cell r="F18">
            <v>90000</v>
          </cell>
          <cell r="G18">
            <v>95000</v>
          </cell>
          <cell r="H18">
            <v>106000</v>
          </cell>
          <cell r="I18">
            <v>115000</v>
          </cell>
          <cell r="J18">
            <v>200000</v>
          </cell>
          <cell r="K18">
            <v>225000</v>
          </cell>
          <cell r="L18">
            <v>310000</v>
          </cell>
          <cell r="M18">
            <v>430000</v>
          </cell>
          <cell r="N18">
            <v>750000</v>
          </cell>
        </row>
        <row r="19">
          <cell r="A19" t="str">
            <v>長野県</v>
          </cell>
          <cell r="B19">
            <v>48000</v>
          </cell>
          <cell r="C19">
            <v>50000</v>
          </cell>
          <cell r="D19">
            <v>53000</v>
          </cell>
          <cell r="E19">
            <v>73000</v>
          </cell>
          <cell r="F19">
            <v>90000</v>
          </cell>
          <cell r="G19">
            <v>95000</v>
          </cell>
          <cell r="H19">
            <v>106000</v>
          </cell>
          <cell r="I19">
            <v>115000</v>
          </cell>
          <cell r="J19">
            <v>200000</v>
          </cell>
          <cell r="K19">
            <v>225000</v>
          </cell>
          <cell r="L19">
            <v>310000</v>
          </cell>
          <cell r="M19">
            <v>430000</v>
          </cell>
          <cell r="N19">
            <v>750000</v>
          </cell>
        </row>
        <row r="20">
          <cell r="A20" t="str">
            <v>関東平均</v>
          </cell>
          <cell r="B20">
            <v>48000</v>
          </cell>
          <cell r="C20">
            <v>50000</v>
          </cell>
          <cell r="D20">
            <v>53000</v>
          </cell>
          <cell r="E20">
            <v>73000</v>
          </cell>
          <cell r="F20">
            <v>90000</v>
          </cell>
          <cell r="G20">
            <v>95000</v>
          </cell>
          <cell r="H20">
            <v>106000</v>
          </cell>
          <cell r="I20">
            <v>115000</v>
          </cell>
          <cell r="J20">
            <v>200000</v>
          </cell>
          <cell r="K20">
            <v>225000</v>
          </cell>
          <cell r="L20">
            <v>310000</v>
          </cell>
          <cell r="M20">
            <v>430000</v>
          </cell>
          <cell r="N20">
            <v>750000</v>
          </cell>
        </row>
        <row r="21">
          <cell r="A21" t="str">
            <v>新潟県</v>
          </cell>
          <cell r="B21">
            <v>45000</v>
          </cell>
          <cell r="C21">
            <v>46000</v>
          </cell>
          <cell r="D21">
            <v>52000</v>
          </cell>
          <cell r="E21">
            <v>74000</v>
          </cell>
          <cell r="F21">
            <v>85000</v>
          </cell>
          <cell r="G21">
            <v>90000</v>
          </cell>
          <cell r="H21">
            <v>102000</v>
          </cell>
          <cell r="I21">
            <v>110000</v>
          </cell>
          <cell r="J21">
            <v>195000</v>
          </cell>
          <cell r="K21">
            <v>226000</v>
          </cell>
          <cell r="L21">
            <v>317000</v>
          </cell>
          <cell r="M21">
            <v>464000</v>
          </cell>
          <cell r="N21">
            <v>800000</v>
          </cell>
        </row>
        <row r="22">
          <cell r="A22" t="str">
            <v>富山県</v>
          </cell>
          <cell r="B22">
            <v>45000</v>
          </cell>
          <cell r="C22">
            <v>46000</v>
          </cell>
          <cell r="D22">
            <v>52000</v>
          </cell>
          <cell r="E22">
            <v>74000</v>
          </cell>
          <cell r="F22">
            <v>85000</v>
          </cell>
          <cell r="G22">
            <v>90000</v>
          </cell>
          <cell r="H22">
            <v>102000</v>
          </cell>
          <cell r="I22">
            <v>110000</v>
          </cell>
          <cell r="J22">
            <v>195000</v>
          </cell>
          <cell r="K22">
            <v>226000</v>
          </cell>
          <cell r="L22">
            <v>317000</v>
          </cell>
          <cell r="M22">
            <v>464000</v>
          </cell>
          <cell r="N22">
            <v>800000</v>
          </cell>
        </row>
        <row r="23">
          <cell r="A23" t="str">
            <v>石川県</v>
          </cell>
          <cell r="B23">
            <v>45000</v>
          </cell>
          <cell r="C23">
            <v>46000</v>
          </cell>
          <cell r="D23">
            <v>52000</v>
          </cell>
          <cell r="E23">
            <v>74000</v>
          </cell>
          <cell r="F23">
            <v>85000</v>
          </cell>
          <cell r="G23">
            <v>90000</v>
          </cell>
          <cell r="H23">
            <v>102000</v>
          </cell>
          <cell r="I23">
            <v>110000</v>
          </cell>
          <cell r="J23">
            <v>195000</v>
          </cell>
          <cell r="K23">
            <v>226000</v>
          </cell>
          <cell r="L23">
            <v>317000</v>
          </cell>
          <cell r="M23">
            <v>464000</v>
          </cell>
          <cell r="N23">
            <v>800000</v>
          </cell>
        </row>
        <row r="24">
          <cell r="A24" t="str">
            <v>北陸平均</v>
          </cell>
          <cell r="B24">
            <v>45000</v>
          </cell>
          <cell r="C24">
            <v>46000</v>
          </cell>
          <cell r="D24">
            <v>52000</v>
          </cell>
          <cell r="E24">
            <v>74000</v>
          </cell>
          <cell r="F24">
            <v>85000</v>
          </cell>
          <cell r="G24">
            <v>90000</v>
          </cell>
          <cell r="H24">
            <v>102000</v>
          </cell>
          <cell r="I24">
            <v>110000</v>
          </cell>
          <cell r="J24">
            <v>195000</v>
          </cell>
          <cell r="K24">
            <v>226000</v>
          </cell>
          <cell r="L24">
            <v>317000</v>
          </cell>
          <cell r="M24">
            <v>464000</v>
          </cell>
          <cell r="N24">
            <v>800000</v>
          </cell>
        </row>
        <row r="25">
          <cell r="A25" t="str">
            <v>岐阜県</v>
          </cell>
          <cell r="B25">
            <v>46000</v>
          </cell>
          <cell r="C25">
            <v>47000</v>
          </cell>
          <cell r="D25">
            <v>52000</v>
          </cell>
          <cell r="E25">
            <v>74000</v>
          </cell>
          <cell r="F25">
            <v>87000</v>
          </cell>
          <cell r="G25">
            <v>93000</v>
          </cell>
          <cell r="H25">
            <v>106000</v>
          </cell>
          <cell r="I25">
            <v>117000</v>
          </cell>
          <cell r="J25">
            <v>200000</v>
          </cell>
          <cell r="K25">
            <v>225000</v>
          </cell>
          <cell r="L25">
            <v>301000</v>
          </cell>
          <cell r="M25">
            <v>417000</v>
          </cell>
          <cell r="N25">
            <v>751000</v>
          </cell>
        </row>
        <row r="26">
          <cell r="A26" t="str">
            <v>静岡県</v>
          </cell>
          <cell r="B26">
            <v>46000</v>
          </cell>
          <cell r="C26">
            <v>47000</v>
          </cell>
          <cell r="D26">
            <v>52000</v>
          </cell>
          <cell r="E26">
            <v>74000</v>
          </cell>
          <cell r="F26">
            <v>87000</v>
          </cell>
          <cell r="G26">
            <v>93000</v>
          </cell>
          <cell r="H26">
            <v>106000</v>
          </cell>
          <cell r="I26">
            <v>117000</v>
          </cell>
          <cell r="J26">
            <v>200000</v>
          </cell>
          <cell r="K26">
            <v>225000</v>
          </cell>
          <cell r="L26">
            <v>301000</v>
          </cell>
          <cell r="M26">
            <v>417000</v>
          </cell>
          <cell r="N26">
            <v>751000</v>
          </cell>
        </row>
        <row r="27">
          <cell r="A27" t="str">
            <v>愛知県</v>
          </cell>
          <cell r="B27">
            <v>46000</v>
          </cell>
          <cell r="C27">
            <v>47000</v>
          </cell>
          <cell r="D27">
            <v>52000</v>
          </cell>
          <cell r="E27">
            <v>74000</v>
          </cell>
          <cell r="F27">
            <v>87000</v>
          </cell>
          <cell r="G27">
            <v>93000</v>
          </cell>
          <cell r="H27">
            <v>106000</v>
          </cell>
          <cell r="I27">
            <v>117000</v>
          </cell>
          <cell r="J27">
            <v>200000</v>
          </cell>
          <cell r="K27">
            <v>225000</v>
          </cell>
          <cell r="L27">
            <v>301000</v>
          </cell>
          <cell r="M27">
            <v>417000</v>
          </cell>
          <cell r="N27">
            <v>751000</v>
          </cell>
        </row>
        <row r="28">
          <cell r="A28" t="str">
            <v>三重県</v>
          </cell>
          <cell r="B28">
            <v>46000</v>
          </cell>
          <cell r="C28">
            <v>47000</v>
          </cell>
          <cell r="D28">
            <v>52000</v>
          </cell>
          <cell r="E28">
            <v>74000</v>
          </cell>
          <cell r="F28">
            <v>87000</v>
          </cell>
          <cell r="G28">
            <v>93000</v>
          </cell>
          <cell r="H28">
            <v>106000</v>
          </cell>
          <cell r="I28">
            <v>117000</v>
          </cell>
          <cell r="J28">
            <v>200000</v>
          </cell>
          <cell r="K28">
            <v>225000</v>
          </cell>
          <cell r="L28">
            <v>301000</v>
          </cell>
          <cell r="M28">
            <v>417000</v>
          </cell>
          <cell r="N28">
            <v>751000</v>
          </cell>
        </row>
        <row r="29">
          <cell r="A29" t="str">
            <v>中部平均</v>
          </cell>
          <cell r="B29">
            <v>46000</v>
          </cell>
          <cell r="C29">
            <v>47000</v>
          </cell>
          <cell r="D29">
            <v>52000</v>
          </cell>
          <cell r="E29">
            <v>74000</v>
          </cell>
          <cell r="F29">
            <v>87000</v>
          </cell>
          <cell r="G29">
            <v>93000</v>
          </cell>
          <cell r="H29">
            <v>106000</v>
          </cell>
          <cell r="I29">
            <v>117000</v>
          </cell>
          <cell r="J29">
            <v>200000</v>
          </cell>
          <cell r="K29">
            <v>225000</v>
          </cell>
          <cell r="L29">
            <v>301000</v>
          </cell>
          <cell r="M29">
            <v>417000</v>
          </cell>
          <cell r="N29">
            <v>751000</v>
          </cell>
        </row>
        <row r="30">
          <cell r="A30" t="str">
            <v>福井県</v>
          </cell>
          <cell r="B30">
            <v>45000</v>
          </cell>
          <cell r="C30">
            <v>46000</v>
          </cell>
          <cell r="D30">
            <v>51000</v>
          </cell>
          <cell r="E30">
            <v>70000</v>
          </cell>
          <cell r="F30">
            <v>85000</v>
          </cell>
          <cell r="G30">
            <v>90000</v>
          </cell>
          <cell r="H30">
            <v>100000</v>
          </cell>
          <cell r="I30">
            <v>116000</v>
          </cell>
          <cell r="J30">
            <v>200000</v>
          </cell>
          <cell r="K30">
            <v>225000</v>
          </cell>
          <cell r="L30">
            <v>310000</v>
          </cell>
          <cell r="M30">
            <v>420000</v>
          </cell>
          <cell r="N30">
            <v>720000</v>
          </cell>
        </row>
        <row r="31">
          <cell r="A31" t="str">
            <v>滋賀県</v>
          </cell>
          <cell r="B31">
            <v>45000</v>
          </cell>
          <cell r="C31">
            <v>46000</v>
          </cell>
          <cell r="D31">
            <v>51000</v>
          </cell>
          <cell r="E31">
            <v>70000</v>
          </cell>
          <cell r="F31">
            <v>85000</v>
          </cell>
          <cell r="G31">
            <v>90000</v>
          </cell>
          <cell r="H31">
            <v>100000</v>
          </cell>
          <cell r="I31">
            <v>116000</v>
          </cell>
          <cell r="J31">
            <v>200000</v>
          </cell>
          <cell r="K31">
            <v>225000</v>
          </cell>
          <cell r="L31">
            <v>310000</v>
          </cell>
          <cell r="M31">
            <v>420000</v>
          </cell>
          <cell r="N31">
            <v>720000</v>
          </cell>
        </row>
        <row r="32">
          <cell r="A32" t="str">
            <v>京都府</v>
          </cell>
          <cell r="B32">
            <v>45000</v>
          </cell>
          <cell r="C32">
            <v>46000</v>
          </cell>
          <cell r="D32">
            <v>51000</v>
          </cell>
          <cell r="E32">
            <v>70000</v>
          </cell>
          <cell r="F32">
            <v>85000</v>
          </cell>
          <cell r="G32">
            <v>90000</v>
          </cell>
          <cell r="H32">
            <v>100000</v>
          </cell>
          <cell r="I32">
            <v>116000</v>
          </cell>
          <cell r="J32">
            <v>200000</v>
          </cell>
          <cell r="K32">
            <v>225000</v>
          </cell>
          <cell r="L32">
            <v>310000</v>
          </cell>
          <cell r="M32">
            <v>420000</v>
          </cell>
          <cell r="N32">
            <v>720000</v>
          </cell>
        </row>
        <row r="33">
          <cell r="A33" t="str">
            <v>大阪府</v>
          </cell>
          <cell r="B33">
            <v>45000</v>
          </cell>
          <cell r="C33">
            <v>46000</v>
          </cell>
          <cell r="D33">
            <v>51000</v>
          </cell>
          <cell r="E33">
            <v>70000</v>
          </cell>
          <cell r="F33">
            <v>85000</v>
          </cell>
          <cell r="G33">
            <v>90000</v>
          </cell>
          <cell r="H33">
            <v>100000</v>
          </cell>
          <cell r="I33">
            <v>116000</v>
          </cell>
          <cell r="J33">
            <v>200000</v>
          </cell>
          <cell r="K33">
            <v>225000</v>
          </cell>
          <cell r="L33">
            <v>310000</v>
          </cell>
          <cell r="M33">
            <v>420000</v>
          </cell>
          <cell r="N33">
            <v>720000</v>
          </cell>
        </row>
        <row r="34">
          <cell r="A34" t="str">
            <v>兵庫県</v>
          </cell>
          <cell r="B34">
            <v>45000</v>
          </cell>
          <cell r="C34">
            <v>46000</v>
          </cell>
          <cell r="D34">
            <v>51000</v>
          </cell>
          <cell r="E34">
            <v>70000</v>
          </cell>
          <cell r="F34">
            <v>85000</v>
          </cell>
          <cell r="G34">
            <v>90000</v>
          </cell>
          <cell r="H34">
            <v>100000</v>
          </cell>
          <cell r="I34">
            <v>116000</v>
          </cell>
          <cell r="J34">
            <v>200000</v>
          </cell>
          <cell r="K34">
            <v>225000</v>
          </cell>
          <cell r="L34">
            <v>310000</v>
          </cell>
          <cell r="M34">
            <v>420000</v>
          </cell>
          <cell r="N34">
            <v>720000</v>
          </cell>
        </row>
        <row r="35">
          <cell r="A35" t="str">
            <v>奈良県</v>
          </cell>
          <cell r="B35">
            <v>45000</v>
          </cell>
          <cell r="C35">
            <v>46000</v>
          </cell>
          <cell r="D35">
            <v>51000</v>
          </cell>
          <cell r="E35">
            <v>70000</v>
          </cell>
          <cell r="F35">
            <v>85000</v>
          </cell>
          <cell r="G35">
            <v>90000</v>
          </cell>
          <cell r="H35">
            <v>100000</v>
          </cell>
          <cell r="I35">
            <v>116000</v>
          </cell>
          <cell r="J35">
            <v>200000</v>
          </cell>
          <cell r="K35">
            <v>225000</v>
          </cell>
          <cell r="L35">
            <v>310000</v>
          </cell>
          <cell r="M35">
            <v>420000</v>
          </cell>
          <cell r="N35">
            <v>720000</v>
          </cell>
        </row>
        <row r="36">
          <cell r="A36" t="str">
            <v>和歌山県</v>
          </cell>
          <cell r="B36">
            <v>45000</v>
          </cell>
          <cell r="C36">
            <v>46000</v>
          </cell>
          <cell r="D36">
            <v>51000</v>
          </cell>
          <cell r="E36">
            <v>70000</v>
          </cell>
          <cell r="F36">
            <v>85000</v>
          </cell>
          <cell r="G36">
            <v>90000</v>
          </cell>
          <cell r="H36">
            <v>100000</v>
          </cell>
          <cell r="I36">
            <v>116000</v>
          </cell>
          <cell r="J36">
            <v>200000</v>
          </cell>
          <cell r="K36">
            <v>225000</v>
          </cell>
          <cell r="L36">
            <v>310000</v>
          </cell>
          <cell r="M36">
            <v>420000</v>
          </cell>
          <cell r="N36">
            <v>720000</v>
          </cell>
        </row>
        <row r="37">
          <cell r="A37" t="str">
            <v>近畿平均</v>
          </cell>
          <cell r="B37">
            <v>45000</v>
          </cell>
          <cell r="C37">
            <v>46000</v>
          </cell>
          <cell r="D37">
            <v>51000</v>
          </cell>
          <cell r="E37">
            <v>70000</v>
          </cell>
          <cell r="F37">
            <v>85000</v>
          </cell>
          <cell r="G37">
            <v>90000</v>
          </cell>
          <cell r="H37">
            <v>100000</v>
          </cell>
          <cell r="I37">
            <v>116000</v>
          </cell>
          <cell r="J37">
            <v>200000</v>
          </cell>
          <cell r="K37">
            <v>225000</v>
          </cell>
          <cell r="L37">
            <v>310000</v>
          </cell>
          <cell r="M37">
            <v>420000</v>
          </cell>
          <cell r="N37">
            <v>720000</v>
          </cell>
        </row>
        <row r="38">
          <cell r="A38" t="str">
            <v>鳥取県</v>
          </cell>
          <cell r="B38">
            <v>50000</v>
          </cell>
          <cell r="C38">
            <v>52000</v>
          </cell>
          <cell r="D38">
            <v>55000</v>
          </cell>
          <cell r="E38">
            <v>78000</v>
          </cell>
          <cell r="F38">
            <v>88000</v>
          </cell>
          <cell r="G38">
            <v>98000</v>
          </cell>
          <cell r="H38">
            <v>110000</v>
          </cell>
          <cell r="I38">
            <v>128000</v>
          </cell>
          <cell r="J38">
            <v>200000</v>
          </cell>
          <cell r="K38">
            <v>230000</v>
          </cell>
          <cell r="L38">
            <v>320000</v>
          </cell>
          <cell r="M38">
            <v>470000</v>
          </cell>
          <cell r="N38">
            <v>780000</v>
          </cell>
        </row>
        <row r="39">
          <cell r="A39" t="str">
            <v>島根県</v>
          </cell>
          <cell r="B39">
            <v>50000</v>
          </cell>
          <cell r="C39">
            <v>52000</v>
          </cell>
          <cell r="D39">
            <v>55000</v>
          </cell>
          <cell r="E39">
            <v>78000</v>
          </cell>
          <cell r="F39">
            <v>88000</v>
          </cell>
          <cell r="G39">
            <v>98000</v>
          </cell>
          <cell r="H39">
            <v>110000</v>
          </cell>
          <cell r="I39">
            <v>128000</v>
          </cell>
          <cell r="J39">
            <v>200000</v>
          </cell>
          <cell r="K39">
            <v>230000</v>
          </cell>
          <cell r="L39">
            <v>320000</v>
          </cell>
          <cell r="M39">
            <v>470000</v>
          </cell>
          <cell r="N39">
            <v>780000</v>
          </cell>
        </row>
        <row r="40">
          <cell r="A40" t="str">
            <v>岡山県</v>
          </cell>
          <cell r="B40">
            <v>50000</v>
          </cell>
          <cell r="C40">
            <v>52000</v>
          </cell>
          <cell r="D40">
            <v>55000</v>
          </cell>
          <cell r="E40">
            <v>78000</v>
          </cell>
          <cell r="F40">
            <v>88000</v>
          </cell>
          <cell r="G40">
            <v>98000</v>
          </cell>
          <cell r="H40">
            <v>110000</v>
          </cell>
          <cell r="I40">
            <v>128000</v>
          </cell>
          <cell r="J40">
            <v>200000</v>
          </cell>
          <cell r="K40">
            <v>230000</v>
          </cell>
          <cell r="L40">
            <v>320000</v>
          </cell>
          <cell r="M40">
            <v>470000</v>
          </cell>
          <cell r="N40">
            <v>780000</v>
          </cell>
        </row>
        <row r="41">
          <cell r="A41" t="str">
            <v>広島県</v>
          </cell>
          <cell r="B41">
            <v>50000</v>
          </cell>
          <cell r="C41">
            <v>52000</v>
          </cell>
          <cell r="D41">
            <v>55000</v>
          </cell>
          <cell r="E41">
            <v>78000</v>
          </cell>
          <cell r="F41">
            <v>88000</v>
          </cell>
          <cell r="G41">
            <v>98000</v>
          </cell>
          <cell r="H41">
            <v>110000</v>
          </cell>
          <cell r="I41">
            <v>128000</v>
          </cell>
          <cell r="J41">
            <v>200000</v>
          </cell>
          <cell r="K41">
            <v>230000</v>
          </cell>
          <cell r="L41">
            <v>320000</v>
          </cell>
          <cell r="M41">
            <v>470000</v>
          </cell>
          <cell r="N41">
            <v>780000</v>
          </cell>
        </row>
        <row r="42">
          <cell r="A42" t="str">
            <v>山口県</v>
          </cell>
          <cell r="B42">
            <v>50000</v>
          </cell>
          <cell r="C42">
            <v>52000</v>
          </cell>
          <cell r="D42">
            <v>55000</v>
          </cell>
          <cell r="E42">
            <v>78000</v>
          </cell>
          <cell r="F42">
            <v>88000</v>
          </cell>
          <cell r="G42">
            <v>98000</v>
          </cell>
          <cell r="H42">
            <v>110000</v>
          </cell>
          <cell r="I42">
            <v>128000</v>
          </cell>
          <cell r="J42">
            <v>200000</v>
          </cell>
          <cell r="K42">
            <v>230000</v>
          </cell>
          <cell r="L42">
            <v>320000</v>
          </cell>
          <cell r="M42">
            <v>470000</v>
          </cell>
          <cell r="N42">
            <v>780000</v>
          </cell>
        </row>
        <row r="43">
          <cell r="A43" t="str">
            <v>中国平均</v>
          </cell>
          <cell r="B43">
            <v>50000</v>
          </cell>
          <cell r="C43">
            <v>52000</v>
          </cell>
          <cell r="D43">
            <v>55000</v>
          </cell>
          <cell r="E43">
            <v>78000</v>
          </cell>
          <cell r="F43">
            <v>88000</v>
          </cell>
          <cell r="G43">
            <v>98000</v>
          </cell>
          <cell r="H43">
            <v>110000</v>
          </cell>
          <cell r="I43">
            <v>128000</v>
          </cell>
          <cell r="J43">
            <v>200000</v>
          </cell>
          <cell r="K43">
            <v>230000</v>
          </cell>
          <cell r="L43">
            <v>320000</v>
          </cell>
          <cell r="M43">
            <v>470000</v>
          </cell>
          <cell r="N43">
            <v>780000</v>
          </cell>
        </row>
        <row r="44">
          <cell r="A44" t="str">
            <v>徳島県</v>
          </cell>
          <cell r="B44">
            <v>47000</v>
          </cell>
          <cell r="C44">
            <v>48000</v>
          </cell>
          <cell r="D44">
            <v>53000</v>
          </cell>
          <cell r="E44">
            <v>73000</v>
          </cell>
          <cell r="F44">
            <v>86000</v>
          </cell>
          <cell r="G44">
            <v>95000</v>
          </cell>
          <cell r="H44">
            <v>107000</v>
          </cell>
          <cell r="I44">
            <v>120000</v>
          </cell>
          <cell r="J44">
            <v>196000</v>
          </cell>
          <cell r="K44">
            <v>233000</v>
          </cell>
          <cell r="L44">
            <v>328000</v>
          </cell>
          <cell r="M44">
            <v>470000</v>
          </cell>
          <cell r="N44">
            <v>792000</v>
          </cell>
        </row>
        <row r="45">
          <cell r="A45" t="str">
            <v>香川県</v>
          </cell>
          <cell r="B45">
            <v>47000</v>
          </cell>
          <cell r="C45">
            <v>48000</v>
          </cell>
          <cell r="D45">
            <v>53000</v>
          </cell>
          <cell r="E45">
            <v>73000</v>
          </cell>
          <cell r="F45">
            <v>86000</v>
          </cell>
          <cell r="G45">
            <v>95000</v>
          </cell>
          <cell r="H45">
            <v>107000</v>
          </cell>
          <cell r="I45">
            <v>120000</v>
          </cell>
          <cell r="J45">
            <v>196000</v>
          </cell>
          <cell r="K45">
            <v>233000</v>
          </cell>
          <cell r="L45">
            <v>328000</v>
          </cell>
          <cell r="M45">
            <v>470000</v>
          </cell>
          <cell r="N45">
            <v>792000</v>
          </cell>
        </row>
        <row r="46">
          <cell r="A46" t="str">
            <v>愛媛県</v>
          </cell>
          <cell r="B46">
            <v>47000</v>
          </cell>
          <cell r="C46">
            <v>48000</v>
          </cell>
          <cell r="D46">
            <v>53000</v>
          </cell>
          <cell r="E46">
            <v>73000</v>
          </cell>
          <cell r="F46">
            <v>86000</v>
          </cell>
          <cell r="G46">
            <v>95000</v>
          </cell>
          <cell r="H46">
            <v>107000</v>
          </cell>
          <cell r="I46">
            <v>120000</v>
          </cell>
          <cell r="J46">
            <v>196000</v>
          </cell>
          <cell r="K46">
            <v>233000</v>
          </cell>
          <cell r="L46">
            <v>328000</v>
          </cell>
          <cell r="M46">
            <v>470000</v>
          </cell>
          <cell r="N46">
            <v>792000</v>
          </cell>
        </row>
        <row r="47">
          <cell r="A47" t="str">
            <v>高知県</v>
          </cell>
          <cell r="B47">
            <v>47000</v>
          </cell>
          <cell r="C47">
            <v>48000</v>
          </cell>
          <cell r="D47">
            <v>53000</v>
          </cell>
          <cell r="E47">
            <v>73000</v>
          </cell>
          <cell r="F47">
            <v>86000</v>
          </cell>
          <cell r="G47">
            <v>95000</v>
          </cell>
          <cell r="H47">
            <v>107000</v>
          </cell>
          <cell r="I47">
            <v>120000</v>
          </cell>
          <cell r="J47">
            <v>196000</v>
          </cell>
          <cell r="K47">
            <v>233000</v>
          </cell>
          <cell r="L47">
            <v>328000</v>
          </cell>
          <cell r="M47">
            <v>470000</v>
          </cell>
          <cell r="N47">
            <v>792000</v>
          </cell>
        </row>
        <row r="48">
          <cell r="A48" t="str">
            <v>四国平均</v>
          </cell>
          <cell r="B48">
            <v>47000</v>
          </cell>
          <cell r="C48">
            <v>48000</v>
          </cell>
          <cell r="D48">
            <v>53000</v>
          </cell>
          <cell r="E48">
            <v>73000</v>
          </cell>
          <cell r="F48">
            <v>86000</v>
          </cell>
          <cell r="G48">
            <v>95000</v>
          </cell>
          <cell r="H48">
            <v>107000</v>
          </cell>
          <cell r="I48">
            <v>120000</v>
          </cell>
          <cell r="J48">
            <v>196000</v>
          </cell>
          <cell r="K48">
            <v>233000</v>
          </cell>
          <cell r="L48">
            <v>328000</v>
          </cell>
          <cell r="M48">
            <v>470000</v>
          </cell>
          <cell r="N48">
            <v>792000</v>
          </cell>
        </row>
        <row r="49">
          <cell r="A49" t="str">
            <v>福岡県</v>
          </cell>
          <cell r="B49">
            <v>47000</v>
          </cell>
          <cell r="C49">
            <v>48000</v>
          </cell>
          <cell r="D49">
            <v>51000</v>
          </cell>
          <cell r="E49">
            <v>75000</v>
          </cell>
          <cell r="F49">
            <v>87000</v>
          </cell>
          <cell r="G49">
            <v>94000</v>
          </cell>
          <cell r="H49">
            <v>102000</v>
          </cell>
          <cell r="I49">
            <v>118000</v>
          </cell>
          <cell r="J49">
            <v>200000</v>
          </cell>
          <cell r="K49">
            <v>241000</v>
          </cell>
          <cell r="L49">
            <v>349000</v>
          </cell>
          <cell r="M49">
            <v>470000</v>
          </cell>
          <cell r="N49">
            <v>784000</v>
          </cell>
        </row>
        <row r="50">
          <cell r="A50" t="str">
            <v>佐賀県</v>
          </cell>
          <cell r="B50">
            <v>47000</v>
          </cell>
          <cell r="C50">
            <v>48000</v>
          </cell>
          <cell r="D50">
            <v>51000</v>
          </cell>
          <cell r="E50">
            <v>75000</v>
          </cell>
          <cell r="F50">
            <v>87000</v>
          </cell>
          <cell r="G50">
            <v>94000</v>
          </cell>
          <cell r="H50">
            <v>102000</v>
          </cell>
          <cell r="I50">
            <v>118000</v>
          </cell>
          <cell r="J50">
            <v>200000</v>
          </cell>
          <cell r="K50">
            <v>241000</v>
          </cell>
          <cell r="L50">
            <v>349000</v>
          </cell>
          <cell r="M50">
            <v>470000</v>
          </cell>
          <cell r="N50">
            <v>784000</v>
          </cell>
        </row>
        <row r="51">
          <cell r="A51" t="str">
            <v>長崎県</v>
          </cell>
          <cell r="B51">
            <v>47000</v>
          </cell>
          <cell r="C51">
            <v>48000</v>
          </cell>
          <cell r="D51">
            <v>51000</v>
          </cell>
          <cell r="E51">
            <v>75000</v>
          </cell>
          <cell r="F51">
            <v>87000</v>
          </cell>
          <cell r="G51">
            <v>94000</v>
          </cell>
          <cell r="H51">
            <v>102000</v>
          </cell>
          <cell r="I51">
            <v>118000</v>
          </cell>
          <cell r="J51">
            <v>200000</v>
          </cell>
          <cell r="K51">
            <v>241000</v>
          </cell>
          <cell r="L51">
            <v>349000</v>
          </cell>
          <cell r="M51">
            <v>470000</v>
          </cell>
          <cell r="N51">
            <v>784000</v>
          </cell>
        </row>
        <row r="52">
          <cell r="A52" t="str">
            <v>熊本県</v>
          </cell>
          <cell r="B52">
            <v>47000</v>
          </cell>
          <cell r="C52">
            <v>48000</v>
          </cell>
          <cell r="D52">
            <v>51000</v>
          </cell>
          <cell r="E52">
            <v>75000</v>
          </cell>
          <cell r="F52">
            <v>87000</v>
          </cell>
          <cell r="G52">
            <v>94000</v>
          </cell>
          <cell r="H52">
            <v>102000</v>
          </cell>
          <cell r="I52">
            <v>118000</v>
          </cell>
          <cell r="J52">
            <v>200000</v>
          </cell>
          <cell r="K52">
            <v>241000</v>
          </cell>
          <cell r="L52">
            <v>349000</v>
          </cell>
          <cell r="M52">
            <v>470000</v>
          </cell>
          <cell r="N52">
            <v>784000</v>
          </cell>
        </row>
        <row r="53">
          <cell r="A53" t="str">
            <v>大分県</v>
          </cell>
          <cell r="B53">
            <v>47000</v>
          </cell>
          <cell r="C53">
            <v>48000</v>
          </cell>
          <cell r="D53">
            <v>51000</v>
          </cell>
          <cell r="E53">
            <v>75000</v>
          </cell>
          <cell r="F53">
            <v>87000</v>
          </cell>
          <cell r="G53">
            <v>94000</v>
          </cell>
          <cell r="H53">
            <v>102000</v>
          </cell>
          <cell r="I53">
            <v>118000</v>
          </cell>
          <cell r="J53">
            <v>200000</v>
          </cell>
          <cell r="K53">
            <v>241000</v>
          </cell>
          <cell r="L53">
            <v>349000</v>
          </cell>
          <cell r="M53">
            <v>470000</v>
          </cell>
          <cell r="N53">
            <v>784000</v>
          </cell>
        </row>
        <row r="54">
          <cell r="A54" t="str">
            <v>宮崎県</v>
          </cell>
          <cell r="B54">
            <v>47000</v>
          </cell>
          <cell r="C54">
            <v>48000</v>
          </cell>
          <cell r="D54">
            <v>51000</v>
          </cell>
          <cell r="E54">
            <v>75000</v>
          </cell>
          <cell r="F54">
            <v>87000</v>
          </cell>
          <cell r="G54">
            <v>94000</v>
          </cell>
          <cell r="H54">
            <v>102000</v>
          </cell>
          <cell r="I54">
            <v>118000</v>
          </cell>
          <cell r="J54">
            <v>200000</v>
          </cell>
          <cell r="K54">
            <v>241000</v>
          </cell>
          <cell r="L54">
            <v>349000</v>
          </cell>
          <cell r="M54">
            <v>470000</v>
          </cell>
          <cell r="N54">
            <v>784000</v>
          </cell>
        </row>
        <row r="55">
          <cell r="A55" t="str">
            <v>鹿児島県</v>
          </cell>
          <cell r="B55">
            <v>47000</v>
          </cell>
          <cell r="C55">
            <v>48000</v>
          </cell>
          <cell r="D55">
            <v>51000</v>
          </cell>
          <cell r="E55">
            <v>75000</v>
          </cell>
          <cell r="F55">
            <v>87000</v>
          </cell>
          <cell r="G55">
            <v>94000</v>
          </cell>
          <cell r="H55">
            <v>102000</v>
          </cell>
          <cell r="I55">
            <v>118000</v>
          </cell>
          <cell r="J55">
            <v>200000</v>
          </cell>
          <cell r="K55">
            <v>241000</v>
          </cell>
          <cell r="L55">
            <v>349000</v>
          </cell>
          <cell r="M55">
            <v>470000</v>
          </cell>
          <cell r="N55">
            <v>784000</v>
          </cell>
        </row>
        <row r="56">
          <cell r="A56" t="str">
            <v>九州平均</v>
          </cell>
          <cell r="B56">
            <v>47000</v>
          </cell>
          <cell r="C56">
            <v>48000</v>
          </cell>
          <cell r="D56">
            <v>51000</v>
          </cell>
          <cell r="E56">
            <v>75000</v>
          </cell>
          <cell r="F56">
            <v>87000</v>
          </cell>
          <cell r="G56">
            <v>94000</v>
          </cell>
          <cell r="H56">
            <v>102000</v>
          </cell>
          <cell r="I56">
            <v>118000</v>
          </cell>
          <cell r="J56">
            <v>200000</v>
          </cell>
          <cell r="K56">
            <v>241000</v>
          </cell>
          <cell r="L56">
            <v>349000</v>
          </cell>
          <cell r="M56">
            <v>470000</v>
          </cell>
          <cell r="N56">
            <v>784000</v>
          </cell>
        </row>
        <row r="57">
          <cell r="A57" t="str">
            <v>沖縄県</v>
          </cell>
          <cell r="B57">
            <v>44000</v>
          </cell>
          <cell r="C57">
            <v>48000</v>
          </cell>
          <cell r="D57">
            <v>52000</v>
          </cell>
          <cell r="E57">
            <v>73000</v>
          </cell>
          <cell r="F57">
            <v>87000</v>
          </cell>
          <cell r="G57">
            <v>93000</v>
          </cell>
          <cell r="H57">
            <v>100000</v>
          </cell>
          <cell r="I57">
            <v>120000</v>
          </cell>
          <cell r="J57">
            <v>228000</v>
          </cell>
          <cell r="K57">
            <v>270000</v>
          </cell>
          <cell r="L57">
            <v>380000</v>
          </cell>
          <cell r="M57">
            <v>590000</v>
          </cell>
          <cell r="N57">
            <v>950000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3"/>
  <sheetViews>
    <sheetView tabSelected="1" workbookViewId="0"/>
  </sheetViews>
  <sheetFormatPr defaultColWidth="5.625" defaultRowHeight="12"/>
  <cols>
    <col min="1" max="16384" width="5.625" style="2"/>
  </cols>
  <sheetData>
    <row r="1" spans="1:24" ht="14.25" customHeight="1">
      <c r="A1" s="1" t="s">
        <v>0</v>
      </c>
    </row>
    <row r="2" spans="1:24" ht="14.25" customHeight="1">
      <c r="A2" s="1"/>
    </row>
    <row r="3" spans="1:24" ht="14.25" customHeight="1">
      <c r="A3" s="1" t="s">
        <v>872</v>
      </c>
    </row>
    <row r="4" spans="1:24" ht="14.25" customHeight="1"/>
    <row r="5" spans="1:24" ht="14.25" customHeight="1">
      <c r="A5" s="3" t="s">
        <v>1</v>
      </c>
      <c r="E5" s="4" t="s">
        <v>2</v>
      </c>
      <c r="F5" s="4"/>
      <c r="G5" s="4"/>
      <c r="H5" s="4"/>
    </row>
    <row r="6" spans="1:24" ht="14.25" customHeight="1">
      <c r="G6" s="5"/>
      <c r="H6" s="5"/>
    </row>
    <row r="7" spans="1:24" ht="14.25" customHeight="1">
      <c r="B7" s="327" t="s">
        <v>3</v>
      </c>
      <c r="C7" s="327"/>
      <c r="D7" s="6">
        <v>3</v>
      </c>
      <c r="F7" s="327" t="s">
        <v>128</v>
      </c>
      <c r="G7" s="327"/>
      <c r="H7" s="7">
        <v>37</v>
      </c>
      <c r="I7" s="8" t="s">
        <v>4</v>
      </c>
      <c r="J7" s="7">
        <v>45</v>
      </c>
      <c r="K7" s="8" t="s">
        <v>4</v>
      </c>
      <c r="L7" s="7">
        <v>37</v>
      </c>
      <c r="M7" s="8" t="s">
        <v>5</v>
      </c>
      <c r="N7" s="9">
        <f>H7+J7+L7</f>
        <v>119</v>
      </c>
      <c r="O7" s="10" t="s">
        <v>6</v>
      </c>
      <c r="P7" s="11"/>
      <c r="Q7" s="8"/>
      <c r="R7" s="11"/>
      <c r="S7" s="8"/>
      <c r="T7" s="11"/>
      <c r="U7" s="10"/>
      <c r="V7" s="12"/>
      <c r="X7" s="12"/>
    </row>
    <row r="8" spans="1:24" ht="14.25" hidden="1" customHeight="1">
      <c r="B8" s="8"/>
      <c r="C8" s="8"/>
      <c r="D8" s="8"/>
      <c r="F8" s="8"/>
      <c r="G8" s="8"/>
      <c r="H8" s="11"/>
      <c r="I8" s="8"/>
      <c r="J8" s="11"/>
      <c r="K8" s="8"/>
      <c r="L8" s="11"/>
      <c r="M8" s="8"/>
      <c r="N8" s="11"/>
      <c r="O8" s="8"/>
      <c r="P8" s="11"/>
      <c r="Q8" s="8"/>
      <c r="R8" s="11"/>
      <c r="S8" s="8"/>
      <c r="T8" s="11"/>
      <c r="U8" s="10"/>
      <c r="V8" s="12"/>
      <c r="X8" s="12"/>
    </row>
    <row r="9" spans="1:24" ht="14.25" customHeight="1"/>
    <row r="10" spans="1:24" ht="14.25" customHeight="1">
      <c r="B10" s="327" t="s">
        <v>7</v>
      </c>
      <c r="C10" s="327"/>
      <c r="D10" s="7">
        <v>13</v>
      </c>
      <c r="E10" s="10" t="s">
        <v>129</v>
      </c>
      <c r="F10" s="327" t="s">
        <v>130</v>
      </c>
      <c r="G10" s="327"/>
      <c r="H10" s="7">
        <v>11.8</v>
      </c>
      <c r="I10" s="10" t="s">
        <v>129</v>
      </c>
      <c r="J10" s="326" t="s">
        <v>131</v>
      </c>
      <c r="K10" s="326"/>
      <c r="L10" s="7">
        <v>11</v>
      </c>
      <c r="M10" s="10" t="s">
        <v>129</v>
      </c>
      <c r="N10" s="13"/>
      <c r="O10" s="13"/>
      <c r="P10" s="11"/>
      <c r="Q10" s="10"/>
    </row>
    <row r="11" spans="1:24" ht="14.25" customHeight="1"/>
    <row r="12" spans="1:24" ht="14.25" customHeight="1">
      <c r="B12" s="327" t="s">
        <v>8</v>
      </c>
      <c r="C12" s="327"/>
      <c r="D12" s="6">
        <v>5</v>
      </c>
      <c r="E12" s="10" t="s">
        <v>9</v>
      </c>
      <c r="F12" s="327" t="s">
        <v>10</v>
      </c>
      <c r="G12" s="327"/>
      <c r="H12" s="14">
        <v>2.2999999999999998</v>
      </c>
      <c r="I12" s="10" t="s">
        <v>129</v>
      </c>
      <c r="J12" s="326" t="s">
        <v>132</v>
      </c>
      <c r="K12" s="326"/>
      <c r="L12" s="14">
        <v>0.57999999999999996</v>
      </c>
      <c r="M12" s="10" t="s">
        <v>129</v>
      </c>
      <c r="N12" s="4"/>
      <c r="O12" s="4"/>
      <c r="P12" s="15"/>
      <c r="Q12" s="5"/>
    </row>
    <row r="13" spans="1:24" ht="14.25" customHeight="1"/>
    <row r="14" spans="1:24" ht="14.25" customHeight="1">
      <c r="B14" s="327" t="s">
        <v>11</v>
      </c>
      <c r="C14" s="327"/>
      <c r="D14" s="16">
        <f>(D7+1)*D12</f>
        <v>20</v>
      </c>
      <c r="E14" s="10" t="s">
        <v>12</v>
      </c>
      <c r="F14" s="327" t="s">
        <v>13</v>
      </c>
      <c r="G14" s="327"/>
      <c r="H14" s="16">
        <f>(E16+E17*2)-1</f>
        <v>10</v>
      </c>
      <c r="I14" s="17" t="s">
        <v>14</v>
      </c>
      <c r="J14" s="8" t="s">
        <v>133</v>
      </c>
      <c r="K14" s="16">
        <f>ROUND(D12*H14,0)</f>
        <v>50</v>
      </c>
      <c r="L14" s="10" t="s">
        <v>134</v>
      </c>
    </row>
    <row r="15" spans="1:24" ht="14.25" customHeight="1"/>
    <row r="16" spans="1:24" ht="14.25" customHeight="1">
      <c r="B16" s="309" t="s">
        <v>135</v>
      </c>
      <c r="C16" s="309"/>
      <c r="D16" s="309"/>
      <c r="E16" s="6">
        <v>5</v>
      </c>
      <c r="F16" s="10" t="s">
        <v>16</v>
      </c>
      <c r="G16" s="8" t="s">
        <v>17</v>
      </c>
      <c r="H16" s="16">
        <f>D12</f>
        <v>5</v>
      </c>
      <c r="I16" s="10" t="s">
        <v>18</v>
      </c>
      <c r="J16" s="8" t="s">
        <v>136</v>
      </c>
      <c r="K16" s="16">
        <f>ROUND(E16*H16,0)</f>
        <v>25</v>
      </c>
      <c r="L16" s="10" t="s">
        <v>137</v>
      </c>
    </row>
    <row r="17" spans="1:17" ht="14.25" customHeight="1">
      <c r="B17" s="330" t="s">
        <v>138</v>
      </c>
      <c r="C17" s="330"/>
      <c r="D17" s="330"/>
      <c r="E17" s="6">
        <v>3</v>
      </c>
      <c r="F17" s="10" t="s">
        <v>16</v>
      </c>
      <c r="G17" s="8" t="s">
        <v>17</v>
      </c>
      <c r="H17" s="16">
        <f>D12</f>
        <v>5</v>
      </c>
      <c r="I17" s="10" t="s">
        <v>18</v>
      </c>
      <c r="J17" s="8" t="s">
        <v>136</v>
      </c>
      <c r="K17" s="16">
        <f>ROUND(E17*H17,0)</f>
        <v>15</v>
      </c>
      <c r="L17" s="10" t="s">
        <v>137</v>
      </c>
    </row>
    <row r="18" spans="1:17" ht="14.25" customHeight="1"/>
    <row r="19" spans="1:17" ht="14.25" customHeight="1">
      <c r="B19" s="326" t="s">
        <v>139</v>
      </c>
      <c r="C19" s="326"/>
      <c r="D19" s="326"/>
      <c r="E19" s="7">
        <v>12</v>
      </c>
      <c r="F19" s="10" t="s">
        <v>140</v>
      </c>
      <c r="G19" s="13"/>
      <c r="H19" s="13"/>
      <c r="I19" s="11"/>
      <c r="J19" s="10"/>
      <c r="K19" s="13"/>
      <c r="L19" s="13"/>
      <c r="M19" s="11"/>
    </row>
    <row r="20" spans="1:17" ht="14.25" customHeight="1">
      <c r="B20" s="326" t="s">
        <v>141</v>
      </c>
      <c r="C20" s="326"/>
      <c r="D20" s="326"/>
      <c r="E20" s="7">
        <v>20</v>
      </c>
      <c r="F20" s="10" t="s">
        <v>142</v>
      </c>
      <c r="G20" s="326" t="s">
        <v>143</v>
      </c>
      <c r="H20" s="326"/>
      <c r="I20" s="326"/>
      <c r="J20" s="7">
        <v>60</v>
      </c>
      <c r="K20" s="10" t="s">
        <v>140</v>
      </c>
      <c r="L20" s="326" t="s">
        <v>144</v>
      </c>
      <c r="M20" s="326"/>
      <c r="N20" s="326"/>
      <c r="O20" s="9">
        <f>ROUND(J20*P31*D12,1)</f>
        <v>124.5</v>
      </c>
      <c r="P20" s="2" t="s">
        <v>145</v>
      </c>
    </row>
    <row r="21" spans="1:17" ht="14.25" customHeight="1">
      <c r="H21" s="2" t="s">
        <v>146</v>
      </c>
      <c r="M21" s="2" t="s">
        <v>147</v>
      </c>
    </row>
    <row r="22" spans="1:17" ht="14.25" customHeight="1">
      <c r="B22" s="327" t="s">
        <v>21</v>
      </c>
      <c r="C22" s="327"/>
      <c r="D22" s="6">
        <v>5</v>
      </c>
      <c r="E22" s="10" t="s">
        <v>22</v>
      </c>
      <c r="F22" s="326" t="s">
        <v>23</v>
      </c>
      <c r="G22" s="326"/>
      <c r="H22" s="9">
        <f>MAX(D53:E82)</f>
        <v>12</v>
      </c>
      <c r="I22" s="10" t="s">
        <v>6</v>
      </c>
    </row>
    <row r="23" spans="1:17" ht="14.25" customHeight="1"/>
    <row r="24" spans="1:17" ht="14.25" customHeight="1"/>
    <row r="25" spans="1:17" ht="14.25" customHeight="1">
      <c r="A25" s="18" t="s">
        <v>24</v>
      </c>
    </row>
    <row r="26" spans="1:17" ht="14.25" customHeight="1"/>
    <row r="27" spans="1:17" ht="14.25" customHeight="1">
      <c r="B27" s="19"/>
      <c r="C27" s="20"/>
      <c r="D27" s="20"/>
      <c r="E27" s="21"/>
      <c r="F27" s="22" t="s">
        <v>25</v>
      </c>
      <c r="G27" s="305" t="s">
        <v>26</v>
      </c>
      <c r="H27" s="315"/>
      <c r="I27" s="306"/>
      <c r="J27" s="305" t="s">
        <v>27</v>
      </c>
      <c r="K27" s="315"/>
      <c r="L27" s="315"/>
      <c r="M27" s="315"/>
      <c r="N27" s="315"/>
      <c r="O27" s="315"/>
      <c r="P27" s="315"/>
      <c r="Q27" s="306"/>
    </row>
    <row r="28" spans="1:17" ht="14.25" customHeight="1">
      <c r="B28" s="310" t="s">
        <v>148</v>
      </c>
      <c r="C28" s="311"/>
      <c r="D28" s="311"/>
      <c r="E28" s="21"/>
      <c r="F28" s="23"/>
      <c r="G28" s="328">
        <v>207</v>
      </c>
      <c r="H28" s="329"/>
      <c r="I28" s="22" t="s">
        <v>149</v>
      </c>
      <c r="J28" s="19"/>
      <c r="K28" s="20"/>
      <c r="L28" s="20"/>
      <c r="M28" s="20"/>
      <c r="N28" s="20"/>
      <c r="O28" s="20"/>
      <c r="P28" s="20"/>
      <c r="Q28" s="21"/>
    </row>
    <row r="29" spans="1:17" ht="14.25" customHeight="1">
      <c r="B29" s="24" t="s">
        <v>28</v>
      </c>
      <c r="C29" s="310" t="s">
        <v>150</v>
      </c>
      <c r="D29" s="311"/>
      <c r="E29" s="312"/>
      <c r="F29" s="25">
        <v>85</v>
      </c>
      <c r="G29" s="318">
        <f>ROUND((G28/1000)*H10*N7*(F29/100),1)</f>
        <v>247.1</v>
      </c>
      <c r="H29" s="319"/>
      <c r="I29" s="24" t="s">
        <v>29</v>
      </c>
      <c r="J29" s="305" t="s">
        <v>151</v>
      </c>
      <c r="K29" s="306"/>
      <c r="L29" s="26">
        <f>K16+K17</f>
        <v>40</v>
      </c>
      <c r="M29" s="320" t="s">
        <v>30</v>
      </c>
      <c r="N29" s="321"/>
      <c r="O29" s="322"/>
      <c r="P29" s="27">
        <f>ROUND(P31*E19,1)</f>
        <v>5</v>
      </c>
      <c r="Q29" s="24" t="s">
        <v>29</v>
      </c>
    </row>
    <row r="30" spans="1:17" ht="14.25" customHeight="1">
      <c r="B30" s="24" t="s">
        <v>31</v>
      </c>
      <c r="C30" s="310" t="s">
        <v>32</v>
      </c>
      <c r="D30" s="311"/>
      <c r="E30" s="312"/>
      <c r="F30" s="25">
        <v>8</v>
      </c>
      <c r="G30" s="318">
        <f>ROUND((G28/1000)*H10*N7*(F30/100),1)</f>
        <v>23.3</v>
      </c>
      <c r="H30" s="319"/>
      <c r="I30" s="24" t="s">
        <v>29</v>
      </c>
      <c r="J30" s="28"/>
      <c r="K30" s="29"/>
      <c r="L30" s="30"/>
      <c r="M30" s="323" t="s">
        <v>33</v>
      </c>
      <c r="N30" s="324"/>
      <c r="O30" s="325"/>
      <c r="P30" s="31">
        <f>ROUND(E20*P31,1)</f>
        <v>8.3000000000000007</v>
      </c>
      <c r="Q30" s="32" t="s">
        <v>29</v>
      </c>
    </row>
    <row r="31" spans="1:17" ht="14.25" customHeight="1">
      <c r="B31" s="24" t="s">
        <v>34</v>
      </c>
      <c r="C31" s="310" t="s">
        <v>35</v>
      </c>
      <c r="D31" s="311"/>
      <c r="E31" s="312"/>
      <c r="F31" s="25">
        <v>4</v>
      </c>
      <c r="G31" s="318">
        <f>ROUND((G28/1000)*H10*N7*(F31/100),1)</f>
        <v>11.6</v>
      </c>
      <c r="H31" s="319"/>
      <c r="I31" s="33" t="s">
        <v>29</v>
      </c>
      <c r="J31" s="19"/>
      <c r="K31" s="20"/>
      <c r="L31" s="20"/>
      <c r="M31" s="320" t="s">
        <v>36</v>
      </c>
      <c r="N31" s="321"/>
      <c r="O31" s="321"/>
      <c r="P31" s="34">
        <f>ROUND(G29/N7/D12,3)</f>
        <v>0.41499999999999998</v>
      </c>
      <c r="Q31" s="24" t="s">
        <v>20</v>
      </c>
    </row>
    <row r="32" spans="1:17" ht="14.25" customHeight="1">
      <c r="B32" s="24" t="s">
        <v>152</v>
      </c>
      <c r="C32" s="310" t="s">
        <v>37</v>
      </c>
      <c r="D32" s="311"/>
      <c r="E32" s="312"/>
      <c r="F32" s="25">
        <v>3</v>
      </c>
      <c r="G32" s="318">
        <f>ROUND((G28/1000)*H10*N7*(F32/100),1)</f>
        <v>8.6999999999999993</v>
      </c>
      <c r="H32" s="319"/>
      <c r="I32" s="24" t="s">
        <v>29</v>
      </c>
      <c r="J32" s="19"/>
      <c r="K32" s="20"/>
      <c r="L32" s="20"/>
      <c r="M32" s="20"/>
      <c r="N32" s="20"/>
      <c r="O32" s="20"/>
      <c r="P32" s="20"/>
      <c r="Q32" s="21"/>
    </row>
    <row r="33" spans="1:17" ht="14.25" customHeight="1">
      <c r="B33" s="24"/>
      <c r="C33" s="310" t="s">
        <v>38</v>
      </c>
      <c r="D33" s="311"/>
      <c r="E33" s="312"/>
      <c r="F33" s="23"/>
      <c r="G33" s="313">
        <f>D14</f>
        <v>20</v>
      </c>
      <c r="H33" s="314"/>
      <c r="I33" s="24" t="s">
        <v>12</v>
      </c>
      <c r="J33" s="19"/>
      <c r="K33" s="20"/>
      <c r="L33" s="20"/>
      <c r="M33" s="20"/>
      <c r="N33" s="20"/>
      <c r="O33" s="20"/>
      <c r="P33" s="20"/>
      <c r="Q33" s="21"/>
    </row>
    <row r="34" spans="1:17" ht="14.25" customHeight="1">
      <c r="B34" s="24"/>
      <c r="C34" s="310" t="s">
        <v>39</v>
      </c>
      <c r="D34" s="311"/>
      <c r="E34" s="312"/>
      <c r="F34" s="23"/>
      <c r="G34" s="313">
        <f>D12*2</f>
        <v>10</v>
      </c>
      <c r="H34" s="314"/>
      <c r="I34" s="24" t="s">
        <v>40</v>
      </c>
      <c r="J34" s="19"/>
      <c r="K34" s="20"/>
      <c r="L34" s="20"/>
      <c r="M34" s="20"/>
      <c r="N34" s="20"/>
      <c r="O34" s="20"/>
      <c r="P34" s="20"/>
      <c r="Q34" s="21"/>
    </row>
    <row r="35" spans="1:17" ht="14.25" customHeight="1">
      <c r="J35" s="305" t="s">
        <v>153</v>
      </c>
      <c r="K35" s="315"/>
      <c r="L35" s="315"/>
      <c r="M35" s="315"/>
      <c r="N35" s="315"/>
      <c r="O35" s="316">
        <f>G29+G30+G31+G32</f>
        <v>290.7</v>
      </c>
      <c r="P35" s="316"/>
      <c r="Q35" s="35" t="s">
        <v>29</v>
      </c>
    </row>
    <row r="36" spans="1:17" ht="14.25" customHeight="1"/>
    <row r="37" spans="1:17" ht="14.25" customHeight="1"/>
    <row r="38" spans="1:17" ht="14.25" customHeight="1">
      <c r="A38" s="18" t="s">
        <v>41</v>
      </c>
    </row>
    <row r="39" spans="1:17" ht="14.25" customHeight="1"/>
    <row r="40" spans="1:17" ht="14.25" customHeight="1" thickBot="1">
      <c r="B40" s="8" t="s">
        <v>154</v>
      </c>
      <c r="C40" s="9">
        <f>G32</f>
        <v>8.6999999999999993</v>
      </c>
      <c r="D40" s="8" t="s">
        <v>43</v>
      </c>
      <c r="E40" s="36">
        <v>0.64500000000000002</v>
      </c>
      <c r="F40" s="8" t="s">
        <v>44</v>
      </c>
      <c r="G40" s="8" t="s">
        <v>45</v>
      </c>
      <c r="H40" s="8" t="s">
        <v>46</v>
      </c>
      <c r="I40" s="37">
        <f>ROUND(C40/(E40/1000),-1)</f>
        <v>13490</v>
      </c>
      <c r="J40" s="38" t="s">
        <v>9</v>
      </c>
      <c r="K40" s="317" t="s">
        <v>155</v>
      </c>
      <c r="L40" s="317"/>
      <c r="M40" s="317"/>
      <c r="N40" s="317"/>
    </row>
    <row r="41" spans="1:17" ht="14.25" customHeight="1"/>
    <row r="42" spans="1:17" ht="14.25" customHeight="1"/>
    <row r="43" spans="1:17" ht="14.25" customHeight="1">
      <c r="A43" s="18" t="s">
        <v>47</v>
      </c>
    </row>
    <row r="44" spans="1:17" ht="14.25" customHeight="1"/>
    <row r="45" spans="1:17" ht="14.25" customHeight="1">
      <c r="B45" s="309" t="s">
        <v>48</v>
      </c>
      <c r="C45" s="309"/>
      <c r="D45" s="309"/>
      <c r="E45" s="309"/>
      <c r="F45" s="309"/>
    </row>
    <row r="46" spans="1:17" ht="14.25" customHeight="1"/>
    <row r="47" spans="1:17" ht="14.25" customHeight="1"/>
    <row r="48" spans="1:17" ht="14.25" customHeight="1">
      <c r="A48" s="18" t="s">
        <v>49</v>
      </c>
    </row>
    <row r="49" spans="2:5" ht="14.25" customHeight="1"/>
    <row r="50" spans="2:5" ht="14.25" customHeight="1">
      <c r="B50" s="309" t="s">
        <v>50</v>
      </c>
      <c r="C50" s="309"/>
      <c r="D50" s="309"/>
      <c r="E50" s="309"/>
    </row>
    <row r="51" spans="2:5" ht="14.25" customHeight="1"/>
    <row r="52" spans="2:5" ht="14.25" customHeight="1">
      <c r="B52" s="305" t="s">
        <v>51</v>
      </c>
      <c r="C52" s="306"/>
      <c r="D52" s="305" t="s">
        <v>156</v>
      </c>
      <c r="E52" s="306"/>
    </row>
    <row r="53" spans="2:5" ht="14.25" customHeight="1">
      <c r="B53" s="305" t="s">
        <v>52</v>
      </c>
      <c r="C53" s="306"/>
      <c r="D53" s="307">
        <v>8</v>
      </c>
      <c r="E53" s="308"/>
    </row>
    <row r="54" spans="2:5" ht="14.25" customHeight="1">
      <c r="B54" s="305" t="s">
        <v>53</v>
      </c>
      <c r="C54" s="306"/>
      <c r="D54" s="307">
        <v>8</v>
      </c>
      <c r="E54" s="308"/>
    </row>
    <row r="55" spans="2:5" ht="14.25" customHeight="1">
      <c r="B55" s="305" t="s">
        <v>54</v>
      </c>
      <c r="C55" s="306"/>
      <c r="D55" s="307">
        <v>9</v>
      </c>
      <c r="E55" s="308"/>
    </row>
    <row r="56" spans="2:5" ht="14.25" customHeight="1">
      <c r="B56" s="305" t="s">
        <v>55</v>
      </c>
      <c r="C56" s="306"/>
      <c r="D56" s="307">
        <v>9</v>
      </c>
      <c r="E56" s="308"/>
    </row>
    <row r="57" spans="2:5" ht="14.25" customHeight="1">
      <c r="B57" s="305" t="s">
        <v>56</v>
      </c>
      <c r="C57" s="306"/>
      <c r="D57" s="307">
        <v>12</v>
      </c>
      <c r="E57" s="308"/>
    </row>
    <row r="58" spans="2:5" ht="14.25" hidden="1" customHeight="1">
      <c r="B58" s="305" t="s">
        <v>57</v>
      </c>
      <c r="C58" s="306"/>
      <c r="D58" s="307"/>
      <c r="E58" s="308"/>
    </row>
    <row r="59" spans="2:5" ht="14.25" hidden="1" customHeight="1">
      <c r="B59" s="305" t="s">
        <v>58</v>
      </c>
      <c r="C59" s="306"/>
      <c r="D59" s="307"/>
      <c r="E59" s="308"/>
    </row>
    <row r="60" spans="2:5" ht="14.25" hidden="1" customHeight="1">
      <c r="B60" s="305" t="s">
        <v>59</v>
      </c>
      <c r="C60" s="306"/>
      <c r="D60" s="307"/>
      <c r="E60" s="308"/>
    </row>
    <row r="61" spans="2:5" ht="14.25" hidden="1" customHeight="1">
      <c r="B61" s="305" t="s">
        <v>60</v>
      </c>
      <c r="C61" s="306"/>
      <c r="D61" s="307"/>
      <c r="E61" s="308"/>
    </row>
    <row r="62" spans="2:5" ht="14.25" hidden="1" customHeight="1">
      <c r="B62" s="305" t="s">
        <v>61</v>
      </c>
      <c r="C62" s="306"/>
      <c r="D62" s="307"/>
      <c r="E62" s="308"/>
    </row>
    <row r="63" spans="2:5" ht="14.25" hidden="1" customHeight="1">
      <c r="B63" s="305" t="s">
        <v>62</v>
      </c>
      <c r="C63" s="306"/>
      <c r="D63" s="307"/>
      <c r="E63" s="308"/>
    </row>
    <row r="64" spans="2:5" ht="14.25" hidden="1" customHeight="1">
      <c r="B64" s="305" t="s">
        <v>63</v>
      </c>
      <c r="C64" s="306"/>
      <c r="D64" s="307"/>
      <c r="E64" s="308"/>
    </row>
    <row r="65" spans="2:5" ht="14.25" hidden="1" customHeight="1">
      <c r="B65" s="305" t="s">
        <v>64</v>
      </c>
      <c r="C65" s="306"/>
      <c r="D65" s="307"/>
      <c r="E65" s="308"/>
    </row>
    <row r="66" spans="2:5" ht="14.25" hidden="1" customHeight="1">
      <c r="B66" s="305" t="s">
        <v>65</v>
      </c>
      <c r="C66" s="306"/>
      <c r="D66" s="307"/>
      <c r="E66" s="308"/>
    </row>
    <row r="67" spans="2:5" ht="14.25" hidden="1" customHeight="1">
      <c r="B67" s="305" t="s">
        <v>66</v>
      </c>
      <c r="C67" s="306"/>
      <c r="D67" s="307"/>
      <c r="E67" s="308"/>
    </row>
    <row r="68" spans="2:5" ht="14.25" hidden="1" customHeight="1">
      <c r="B68" s="305" t="s">
        <v>67</v>
      </c>
      <c r="C68" s="306"/>
      <c r="D68" s="307"/>
      <c r="E68" s="308"/>
    </row>
    <row r="69" spans="2:5" ht="14.25" hidden="1" customHeight="1">
      <c r="B69" s="305" t="s">
        <v>68</v>
      </c>
      <c r="C69" s="306"/>
      <c r="D69" s="307"/>
      <c r="E69" s="308"/>
    </row>
    <row r="70" spans="2:5" ht="14.25" hidden="1" customHeight="1">
      <c r="B70" s="305" t="s">
        <v>69</v>
      </c>
      <c r="C70" s="306"/>
      <c r="D70" s="307"/>
      <c r="E70" s="308"/>
    </row>
    <row r="71" spans="2:5" ht="14.25" hidden="1" customHeight="1">
      <c r="B71" s="305" t="s">
        <v>70</v>
      </c>
      <c r="C71" s="306"/>
      <c r="D71" s="307"/>
      <c r="E71" s="308"/>
    </row>
    <row r="72" spans="2:5" ht="14.25" hidden="1" customHeight="1">
      <c r="B72" s="305" t="s">
        <v>71</v>
      </c>
      <c r="C72" s="306"/>
      <c r="D72" s="307"/>
      <c r="E72" s="308"/>
    </row>
    <row r="73" spans="2:5" ht="14.25" hidden="1" customHeight="1">
      <c r="B73" s="305" t="s">
        <v>72</v>
      </c>
      <c r="C73" s="306"/>
      <c r="D73" s="307"/>
      <c r="E73" s="308"/>
    </row>
    <row r="74" spans="2:5" ht="14.25" hidden="1" customHeight="1">
      <c r="B74" s="305" t="s">
        <v>73</v>
      </c>
      <c r="C74" s="306"/>
      <c r="D74" s="307"/>
      <c r="E74" s="308"/>
    </row>
    <row r="75" spans="2:5" ht="14.25" hidden="1" customHeight="1">
      <c r="B75" s="305" t="s">
        <v>74</v>
      </c>
      <c r="C75" s="306"/>
      <c r="D75" s="307"/>
      <c r="E75" s="308"/>
    </row>
    <row r="76" spans="2:5" ht="14.25" hidden="1" customHeight="1">
      <c r="B76" s="305" t="s">
        <v>75</v>
      </c>
      <c r="C76" s="306"/>
      <c r="D76" s="307"/>
      <c r="E76" s="308"/>
    </row>
    <row r="77" spans="2:5" ht="14.25" hidden="1" customHeight="1">
      <c r="B77" s="305" t="s">
        <v>76</v>
      </c>
      <c r="C77" s="306"/>
      <c r="D77" s="307"/>
      <c r="E77" s="308"/>
    </row>
    <row r="78" spans="2:5" ht="14.25" hidden="1" customHeight="1">
      <c r="B78" s="305" t="s">
        <v>77</v>
      </c>
      <c r="C78" s="306"/>
      <c r="D78" s="307"/>
      <c r="E78" s="308"/>
    </row>
    <row r="79" spans="2:5" ht="14.25" hidden="1" customHeight="1">
      <c r="B79" s="305" t="s">
        <v>78</v>
      </c>
      <c r="C79" s="306"/>
      <c r="D79" s="307"/>
      <c r="E79" s="308"/>
    </row>
    <row r="80" spans="2:5" ht="14.25" hidden="1" customHeight="1">
      <c r="B80" s="305" t="s">
        <v>79</v>
      </c>
      <c r="C80" s="306"/>
      <c r="D80" s="307"/>
      <c r="E80" s="308"/>
    </row>
    <row r="81" spans="1:17" ht="14.25" hidden="1" customHeight="1">
      <c r="B81" s="305" t="s">
        <v>80</v>
      </c>
      <c r="C81" s="306"/>
      <c r="D81" s="307"/>
      <c r="E81" s="308"/>
    </row>
    <row r="82" spans="1:17" ht="14.25" hidden="1" customHeight="1">
      <c r="B82" s="305" t="s">
        <v>81</v>
      </c>
      <c r="C82" s="306"/>
      <c r="D82" s="307"/>
      <c r="E82" s="308"/>
    </row>
    <row r="83" spans="1:17" ht="14.25" customHeight="1">
      <c r="B83" s="8"/>
      <c r="C83" s="8"/>
      <c r="D83" s="8"/>
      <c r="E83" s="8"/>
    </row>
    <row r="84" spans="1:17" ht="14.25" customHeight="1">
      <c r="B84" s="8"/>
      <c r="C84" s="8"/>
      <c r="D84" s="8"/>
      <c r="E84" s="8"/>
    </row>
    <row r="85" spans="1:17" ht="14.25" customHeight="1">
      <c r="A85" s="18" t="s">
        <v>82</v>
      </c>
    </row>
    <row r="86" spans="1:17" ht="14.25" customHeight="1"/>
    <row r="87" spans="1:17" ht="14.25" customHeight="1">
      <c r="B87" s="309" t="s">
        <v>83</v>
      </c>
      <c r="C87" s="309"/>
      <c r="D87" s="309"/>
      <c r="E87" s="309"/>
    </row>
    <row r="88" spans="1:17" ht="14.25" customHeight="1">
      <c r="B88" s="10"/>
      <c r="C88" s="8" t="s">
        <v>157</v>
      </c>
      <c r="D88" s="10"/>
      <c r="E88" s="8" t="s">
        <v>158</v>
      </c>
      <c r="G88" s="8" t="s">
        <v>159</v>
      </c>
      <c r="I88" s="8" t="s">
        <v>160</v>
      </c>
      <c r="K88" s="8" t="s">
        <v>157</v>
      </c>
      <c r="M88" s="8" t="s">
        <v>161</v>
      </c>
      <c r="O88" s="8" t="s">
        <v>162</v>
      </c>
      <c r="Q88" s="8" t="s">
        <v>160</v>
      </c>
    </row>
    <row r="89" spans="1:17" ht="14.25" customHeight="1">
      <c r="B89" s="8" t="s">
        <v>163</v>
      </c>
      <c r="C89" s="39">
        <v>0.35</v>
      </c>
      <c r="D89" s="8" t="s">
        <v>17</v>
      </c>
      <c r="E89" s="40">
        <f>H12</f>
        <v>2.2999999999999998</v>
      </c>
      <c r="F89" s="8" t="s">
        <v>17</v>
      </c>
      <c r="G89" s="41">
        <v>2</v>
      </c>
      <c r="H89" s="8" t="s">
        <v>85</v>
      </c>
      <c r="I89" s="16">
        <f>K14</f>
        <v>50</v>
      </c>
      <c r="J89" s="8" t="s">
        <v>86</v>
      </c>
      <c r="K89" s="39">
        <v>0.65</v>
      </c>
      <c r="L89" s="8" t="s">
        <v>17</v>
      </c>
      <c r="M89" s="40">
        <f>L12</f>
        <v>0.57999999999999996</v>
      </c>
      <c r="N89" s="8" t="s">
        <v>17</v>
      </c>
      <c r="O89" s="41">
        <v>4</v>
      </c>
      <c r="P89" s="8" t="s">
        <v>85</v>
      </c>
      <c r="Q89" s="16">
        <f>K14</f>
        <v>50</v>
      </c>
    </row>
    <row r="90" spans="1:17" ht="14.25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4.25" customHeight="1">
      <c r="B91" s="8" t="s">
        <v>136</v>
      </c>
      <c r="C91" s="9">
        <f>C89*E89*G89*I89</f>
        <v>80.5</v>
      </c>
      <c r="D91" s="8" t="s">
        <v>164</v>
      </c>
      <c r="E91" s="9">
        <f>K89*M89*O89*Q89</f>
        <v>75.400000000000006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4.25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4.25" customHeight="1" thickBot="1">
      <c r="B93" s="8" t="s">
        <v>136</v>
      </c>
      <c r="C93" s="9">
        <f>ROUND(C91+E91,1)</f>
        <v>155.9</v>
      </c>
      <c r="D93" s="10" t="s">
        <v>165</v>
      </c>
      <c r="E93" s="8" t="s">
        <v>166</v>
      </c>
      <c r="F93" s="9">
        <f>C93</f>
        <v>155.9</v>
      </c>
      <c r="G93" s="8" t="s">
        <v>167</v>
      </c>
      <c r="H93" s="42">
        <v>1.2</v>
      </c>
      <c r="I93" s="8" t="s">
        <v>136</v>
      </c>
      <c r="J93" s="43">
        <f>F93*H93</f>
        <v>187.08</v>
      </c>
      <c r="K93" s="38" t="s">
        <v>168</v>
      </c>
      <c r="L93" s="2" t="s">
        <v>169</v>
      </c>
    </row>
    <row r="94" spans="1:17" ht="14.25" customHeight="1"/>
    <row r="95" spans="1:17" ht="14.25" customHeight="1">
      <c r="B95" s="2" t="s">
        <v>87</v>
      </c>
    </row>
    <row r="96" spans="1:17" ht="14.25" customHeight="1">
      <c r="B96" s="2" t="s">
        <v>170</v>
      </c>
    </row>
    <row r="97" spans="1:10" ht="14.25" customHeight="1">
      <c r="C97" s="2" t="s">
        <v>171</v>
      </c>
    </row>
    <row r="98" spans="1:10" ht="14.25" customHeight="1">
      <c r="B98" s="2" t="s">
        <v>172</v>
      </c>
    </row>
    <row r="99" spans="1:10" ht="14.25" customHeight="1">
      <c r="C99" s="2" t="s">
        <v>173</v>
      </c>
    </row>
    <row r="100" spans="1:10" ht="14.25" customHeight="1"/>
    <row r="101" spans="1:10" ht="14.25" customHeight="1"/>
    <row r="102" spans="1:10" ht="14.25" customHeight="1">
      <c r="A102" s="18" t="s">
        <v>88</v>
      </c>
    </row>
    <row r="103" spans="1:10" ht="14.25" customHeight="1"/>
    <row r="104" spans="1:10" ht="14.25" customHeight="1">
      <c r="B104" s="302" t="s">
        <v>89</v>
      </c>
      <c r="C104" s="302"/>
      <c r="D104" s="302"/>
      <c r="E104" s="302"/>
      <c r="F104" s="300" t="s">
        <v>174</v>
      </c>
      <c r="G104" s="301"/>
      <c r="H104" s="44" t="s">
        <v>90</v>
      </c>
      <c r="J104" s="45"/>
    </row>
    <row r="105" spans="1:10" ht="14.25" customHeight="1">
      <c r="B105" s="302" t="s">
        <v>91</v>
      </c>
      <c r="C105" s="302"/>
      <c r="D105" s="302"/>
      <c r="E105" s="302"/>
      <c r="F105" s="298">
        <f>IF(ISERROR('[1]日数 (2)'!D58),0,'[1]日数 (2)'!D58)</f>
        <v>2.7</v>
      </c>
      <c r="G105" s="299"/>
      <c r="H105" s="46" t="s">
        <v>92</v>
      </c>
      <c r="J105" s="47"/>
    </row>
    <row r="106" spans="1:10" ht="14.25" customHeight="1">
      <c r="B106" s="302" t="s">
        <v>93</v>
      </c>
      <c r="C106" s="302"/>
      <c r="D106" s="302"/>
      <c r="E106" s="302"/>
      <c r="F106" s="298">
        <f>IF(ISERROR('[1]日数 (2)'!D120),0,'[1]日数 (2)'!D120)</f>
        <v>21.4</v>
      </c>
      <c r="G106" s="299"/>
      <c r="H106" s="46" t="s">
        <v>94</v>
      </c>
      <c r="J106" s="47"/>
    </row>
    <row r="107" spans="1:10" ht="14.25" customHeight="1">
      <c r="B107" s="300" t="s">
        <v>95</v>
      </c>
      <c r="C107" s="303"/>
      <c r="D107" s="303"/>
      <c r="E107" s="301"/>
      <c r="F107" s="299">
        <f>IF(ISERROR('[1]日数 (2)'!D141),0,'[1]日数 (2)'!D141)</f>
        <v>5.2</v>
      </c>
      <c r="G107" s="304"/>
      <c r="H107" s="46" t="s">
        <v>96</v>
      </c>
      <c r="J107" s="47"/>
    </row>
    <row r="108" spans="1:10" ht="14.25" hidden="1" customHeight="1">
      <c r="B108" s="300" t="s">
        <v>175</v>
      </c>
      <c r="C108" s="303"/>
      <c r="D108" s="303"/>
      <c r="E108" s="301"/>
      <c r="F108" s="299"/>
      <c r="G108" s="304"/>
      <c r="H108" s="46"/>
      <c r="J108" s="47"/>
    </row>
    <row r="109" spans="1:10" ht="14.25" customHeight="1">
      <c r="B109" s="302" t="s">
        <v>97</v>
      </c>
      <c r="C109" s="302"/>
      <c r="D109" s="302"/>
      <c r="E109" s="302"/>
      <c r="F109" s="298">
        <f>IF(ISERROR('[1]日数 (2)'!D225),0,'[1]日数 (2)'!D225)</f>
        <v>12.5</v>
      </c>
      <c r="G109" s="299"/>
      <c r="H109" s="46" t="s">
        <v>98</v>
      </c>
      <c r="J109" s="47"/>
    </row>
    <row r="110" spans="1:10" ht="14.25" hidden="1" customHeight="1">
      <c r="B110" s="302" t="s">
        <v>176</v>
      </c>
      <c r="C110" s="302"/>
      <c r="D110" s="302"/>
      <c r="E110" s="302"/>
      <c r="F110" s="298"/>
      <c r="G110" s="299"/>
      <c r="H110" s="46"/>
      <c r="J110" s="47"/>
    </row>
    <row r="111" spans="1:10" ht="14.25" hidden="1" customHeight="1">
      <c r="B111" s="302" t="s">
        <v>177</v>
      </c>
      <c r="C111" s="302"/>
      <c r="D111" s="302"/>
      <c r="E111" s="302"/>
      <c r="F111" s="298"/>
      <c r="G111" s="299"/>
      <c r="H111" s="46"/>
      <c r="J111" s="47"/>
    </row>
    <row r="112" spans="1:10" ht="14.25" customHeight="1">
      <c r="B112" s="302" t="s">
        <v>99</v>
      </c>
      <c r="C112" s="302"/>
      <c r="D112" s="302"/>
      <c r="E112" s="302"/>
      <c r="F112" s="298">
        <f>IF(ISERROR('[1]日数 (2)'!D299),0,'[1]日数 (2)'!D299)</f>
        <v>8</v>
      </c>
      <c r="G112" s="299"/>
      <c r="H112" s="46" t="s">
        <v>100</v>
      </c>
      <c r="J112" s="47"/>
    </row>
    <row r="113" spans="1:29" ht="14.25" customHeight="1">
      <c r="B113" s="302" t="s">
        <v>101</v>
      </c>
      <c r="C113" s="302"/>
      <c r="D113" s="302"/>
      <c r="E113" s="302"/>
      <c r="F113" s="298">
        <f>IF(ISERROR('[1]日数 (2)'!D320),0,'[1]日数 (2)'!D320)</f>
        <v>8.1</v>
      </c>
      <c r="G113" s="299"/>
      <c r="H113" s="46" t="s">
        <v>102</v>
      </c>
      <c r="J113" s="47"/>
    </row>
    <row r="114" spans="1:29" ht="14.25" customHeight="1">
      <c r="B114" s="302" t="s">
        <v>103</v>
      </c>
      <c r="C114" s="302"/>
      <c r="D114" s="302"/>
      <c r="E114" s="302"/>
      <c r="F114" s="298">
        <f>IF(ISERROR('[1]日数 (2)'!D337),0,'[1]日数 (2)'!D337)</f>
        <v>2.5</v>
      </c>
      <c r="G114" s="299"/>
      <c r="H114" s="46" t="s">
        <v>104</v>
      </c>
      <c r="J114" s="47"/>
    </row>
    <row r="115" spans="1:29" ht="14.25" customHeight="1">
      <c r="B115" s="292" t="s">
        <v>105</v>
      </c>
      <c r="C115" s="293"/>
      <c r="D115" s="296" t="s">
        <v>106</v>
      </c>
      <c r="E115" s="297"/>
      <c r="F115" s="298">
        <f>IF(ISERROR('[1]日数 (2)'!E380),0,'[1]日数 (2)'!E380)</f>
        <v>25.4</v>
      </c>
      <c r="G115" s="299"/>
      <c r="H115" s="46" t="s">
        <v>107</v>
      </c>
      <c r="J115" s="47"/>
    </row>
    <row r="116" spans="1:29" ht="14.25" customHeight="1">
      <c r="B116" s="294"/>
      <c r="C116" s="295"/>
      <c r="D116" s="300" t="s">
        <v>108</v>
      </c>
      <c r="E116" s="301"/>
      <c r="F116" s="298">
        <f>'[1]日数 (2)'!Q405</f>
        <v>4.2</v>
      </c>
      <c r="G116" s="299"/>
      <c r="H116" s="46" t="s">
        <v>109</v>
      </c>
      <c r="J116" s="47"/>
    </row>
    <row r="117" spans="1:29" ht="14.25" customHeight="1">
      <c r="B117" s="302" t="s">
        <v>110</v>
      </c>
      <c r="C117" s="302"/>
      <c r="D117" s="302"/>
      <c r="E117" s="302"/>
      <c r="F117" s="298">
        <f>IF(ISERROR('[1]日数 (2)'!E433),0,'[1]日数 (2)'!E433)</f>
        <v>9</v>
      </c>
      <c r="G117" s="299"/>
      <c r="H117" s="46" t="s">
        <v>111</v>
      </c>
      <c r="J117" s="47"/>
    </row>
    <row r="118" spans="1:29" ht="14.25" hidden="1" customHeight="1">
      <c r="B118" s="286" t="s">
        <v>178</v>
      </c>
      <c r="C118" s="286"/>
      <c r="D118" s="286"/>
      <c r="E118" s="286"/>
      <c r="F118" s="287"/>
      <c r="G118" s="288"/>
      <c r="H118" s="48"/>
      <c r="J118" s="47"/>
    </row>
    <row r="119" spans="1:29" ht="14.25" customHeight="1">
      <c r="B119" s="289" t="s">
        <v>112</v>
      </c>
      <c r="C119" s="289"/>
      <c r="D119" s="289"/>
      <c r="E119" s="289"/>
      <c r="F119" s="290">
        <f>SUM(F105:G118)</f>
        <v>99</v>
      </c>
      <c r="G119" s="291"/>
      <c r="H119" s="49"/>
      <c r="J119" s="45"/>
    </row>
    <row r="120" spans="1:29" ht="14.25" customHeight="1"/>
    <row r="121" spans="1:29" ht="14.25" customHeight="1"/>
    <row r="122" spans="1:29" ht="14.25" customHeight="1">
      <c r="A122" s="50" t="s">
        <v>113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</row>
    <row r="123" spans="1:29" ht="14.2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</row>
    <row r="124" spans="1:29" ht="14.25" customHeight="1">
      <c r="A124" s="51"/>
      <c r="B124" s="51" t="s">
        <v>114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</row>
    <row r="125" spans="1:29" ht="14.2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</row>
    <row r="126" spans="1:29" s="4" customFormat="1" ht="14.25" customHeight="1">
      <c r="A126" s="47"/>
      <c r="B126" s="47"/>
      <c r="C126" s="47" t="s">
        <v>115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</row>
    <row r="127" spans="1:29" ht="14.25" customHeight="1">
      <c r="A127" s="51"/>
      <c r="B127" s="51"/>
      <c r="C127" s="51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51"/>
      <c r="P127" s="51"/>
      <c r="Q127" s="51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</row>
    <row r="128" spans="1:29" s="11" customFormat="1" ht="14.25" customHeight="1">
      <c r="A128" s="52"/>
      <c r="B128" s="52"/>
      <c r="C128" s="53" t="s">
        <v>116</v>
      </c>
      <c r="D128" s="54">
        <f>$F$105</f>
        <v>2.7</v>
      </c>
      <c r="E128" s="52" t="s">
        <v>86</v>
      </c>
      <c r="F128" s="54">
        <f>$F$106</f>
        <v>21.4</v>
      </c>
      <c r="G128" s="52" t="s">
        <v>86</v>
      </c>
      <c r="H128" s="54">
        <f>$F$107</f>
        <v>5.2</v>
      </c>
      <c r="I128" s="52" t="s">
        <v>86</v>
      </c>
      <c r="J128" s="54">
        <f>$F$109</f>
        <v>12.5</v>
      </c>
      <c r="K128" s="52" t="s">
        <v>86</v>
      </c>
      <c r="L128" s="54">
        <f>$F$112</f>
        <v>8</v>
      </c>
      <c r="M128" s="52" t="s">
        <v>86</v>
      </c>
      <c r="N128" s="54">
        <f>$F$113</f>
        <v>8.1</v>
      </c>
      <c r="O128" s="53" t="s">
        <v>117</v>
      </c>
      <c r="P128" s="52">
        <v>1.7</v>
      </c>
      <c r="Q128" s="53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</row>
    <row r="129" spans="1:29" s="11" customFormat="1" ht="14.25" hidden="1" customHeight="1">
      <c r="A129" s="52"/>
      <c r="B129" s="52"/>
      <c r="C129" s="53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3"/>
      <c r="P129" s="52"/>
      <c r="Q129" s="53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</row>
    <row r="130" spans="1:29" ht="14.25" customHeight="1">
      <c r="A130" s="45"/>
      <c r="B130" s="51"/>
      <c r="C130" s="55"/>
      <c r="D130" s="45"/>
      <c r="E130" s="45"/>
      <c r="F130" s="45"/>
      <c r="G130" s="45"/>
      <c r="H130" s="45"/>
      <c r="I130" s="45"/>
      <c r="J130" s="45"/>
      <c r="K130" s="45"/>
      <c r="L130" s="45"/>
      <c r="M130" s="56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</row>
    <row r="131" spans="1:29" ht="14.25" customHeight="1" thickBot="1">
      <c r="A131" s="45"/>
      <c r="B131" s="51"/>
      <c r="C131" s="45" t="s">
        <v>19</v>
      </c>
      <c r="D131" s="57">
        <f>ROUND((F105*1.7+F106*1.7+F107*1.7+F109*1.7+F112*1.7+F113*1.7),0)</f>
        <v>98</v>
      </c>
      <c r="E131" s="58" t="s">
        <v>118</v>
      </c>
      <c r="F131" s="51"/>
      <c r="G131" s="51"/>
      <c r="H131" s="51"/>
      <c r="I131" s="51"/>
      <c r="J131" s="51"/>
      <c r="K131" s="51"/>
      <c r="L131" s="51"/>
      <c r="M131" s="51"/>
      <c r="N131" s="51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</row>
    <row r="132" spans="1:29" ht="14.2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</row>
    <row r="133" spans="1:29" ht="14.25" customHeight="1">
      <c r="A133" s="45"/>
      <c r="B133" s="51" t="s">
        <v>179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</row>
    <row r="134" spans="1:29" ht="14.2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</row>
    <row r="135" spans="1:29" s="4" customFormat="1" ht="14.25" customHeight="1">
      <c r="A135" s="47"/>
      <c r="B135" s="47"/>
      <c r="C135" s="47" t="s">
        <v>119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</row>
    <row r="136" spans="1:29" ht="14.25" customHeight="1">
      <c r="A136" s="45"/>
      <c r="B136" s="51"/>
      <c r="C136" s="51"/>
      <c r="D136" s="45"/>
      <c r="E136" s="45"/>
      <c r="F136" s="45"/>
      <c r="G136" s="45"/>
      <c r="H136" s="45"/>
      <c r="I136" s="45"/>
      <c r="J136" s="45"/>
      <c r="K136" s="51"/>
      <c r="L136" s="51"/>
      <c r="M136" s="51"/>
      <c r="N136" s="51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</row>
    <row r="137" spans="1:29" s="11" customFormat="1" ht="14.25" customHeight="1">
      <c r="A137" s="52"/>
      <c r="B137" s="52"/>
      <c r="C137" s="53" t="s">
        <v>116</v>
      </c>
      <c r="D137" s="54">
        <f>$F$107</f>
        <v>5.2</v>
      </c>
      <c r="E137" s="52" t="s">
        <v>86</v>
      </c>
      <c r="F137" s="54">
        <f>$F$109</f>
        <v>12.5</v>
      </c>
      <c r="G137" s="52" t="s">
        <v>86</v>
      </c>
      <c r="H137" s="54">
        <f>$F$112</f>
        <v>8</v>
      </c>
      <c r="I137" s="52" t="s">
        <v>86</v>
      </c>
      <c r="J137" s="54">
        <f>$F$113</f>
        <v>8.1</v>
      </c>
      <c r="K137" s="53" t="s">
        <v>117</v>
      </c>
      <c r="L137" s="52">
        <v>1.7</v>
      </c>
      <c r="M137" s="53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</row>
    <row r="138" spans="1:29" ht="14.25" customHeight="1">
      <c r="A138" s="45"/>
      <c r="B138" s="51"/>
      <c r="C138" s="55"/>
      <c r="D138" s="45"/>
      <c r="E138" s="45"/>
      <c r="F138" s="45"/>
      <c r="G138" s="45"/>
      <c r="H138" s="45"/>
      <c r="I138" s="56"/>
      <c r="J138" s="45"/>
      <c r="K138" s="51"/>
      <c r="L138" s="51"/>
      <c r="M138" s="55"/>
      <c r="N138" s="51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</row>
    <row r="139" spans="1:29" ht="14.25" customHeight="1" thickBot="1">
      <c r="A139" s="45"/>
      <c r="B139" s="51"/>
      <c r="C139" s="45" t="s">
        <v>19</v>
      </c>
      <c r="D139" s="57">
        <f>ROUND((F107*1.7+F109*1.7+F112*1.7+F113*1.7),0)</f>
        <v>57</v>
      </c>
      <c r="E139" s="58" t="s">
        <v>118</v>
      </c>
      <c r="F139" s="51"/>
      <c r="G139" s="51"/>
      <c r="H139" s="51"/>
      <c r="I139" s="51"/>
      <c r="J139" s="51"/>
      <c r="K139" s="51"/>
      <c r="L139" s="51"/>
      <c r="M139" s="51"/>
      <c r="N139" s="51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</row>
    <row r="140" spans="1:29" ht="14.2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</row>
    <row r="141" spans="1:29" ht="14.25" customHeight="1">
      <c r="A141" s="45"/>
      <c r="B141" s="51" t="s">
        <v>120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</row>
    <row r="142" spans="1:29" ht="14.2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</row>
    <row r="143" spans="1:29" ht="14.25" customHeight="1">
      <c r="A143" s="45"/>
      <c r="B143" s="51" t="s">
        <v>121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</row>
    <row r="144" spans="1:29" ht="14.2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</row>
    <row r="145" spans="1:29" s="4" customFormat="1" ht="14.25" customHeight="1">
      <c r="A145" s="47"/>
      <c r="B145" s="47"/>
      <c r="C145" s="47" t="s">
        <v>122</v>
      </c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</row>
    <row r="146" spans="1:29" ht="14.25" customHeight="1">
      <c r="A146" s="45"/>
      <c r="B146" s="51"/>
      <c r="C146" s="51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51"/>
      <c r="R146" s="51"/>
      <c r="S146" s="51"/>
      <c r="T146" s="51"/>
      <c r="U146" s="45"/>
      <c r="V146" s="45"/>
      <c r="W146" s="45"/>
      <c r="X146" s="45"/>
      <c r="Y146" s="45"/>
      <c r="Z146" s="45"/>
      <c r="AA146" s="45"/>
      <c r="AB146" s="45"/>
      <c r="AC146" s="45"/>
    </row>
    <row r="147" spans="1:29" s="11" customFormat="1" ht="14.25" customHeight="1">
      <c r="A147" s="52"/>
      <c r="B147" s="52"/>
      <c r="C147" s="53" t="s">
        <v>116</v>
      </c>
      <c r="D147" s="54">
        <f>$F$107</f>
        <v>5.2</v>
      </c>
      <c r="E147" s="52" t="s">
        <v>86</v>
      </c>
      <c r="F147" s="54">
        <f>$F$109</f>
        <v>12.5</v>
      </c>
      <c r="G147" s="52" t="s">
        <v>86</v>
      </c>
      <c r="H147" s="54">
        <f>$F$112</f>
        <v>8</v>
      </c>
      <c r="I147" s="52" t="s">
        <v>86</v>
      </c>
      <c r="J147" s="54">
        <f>$F$113</f>
        <v>8.1</v>
      </c>
      <c r="K147" s="52" t="s">
        <v>86</v>
      </c>
      <c r="L147" s="54">
        <f>$F$114</f>
        <v>2.5</v>
      </c>
      <c r="M147" s="52" t="s">
        <v>86</v>
      </c>
      <c r="N147" s="54">
        <f>$F$115</f>
        <v>25.4</v>
      </c>
      <c r="O147" s="52" t="s">
        <v>86</v>
      </c>
      <c r="P147" s="54">
        <f>$F$117</f>
        <v>9</v>
      </c>
      <c r="Q147" s="53" t="s">
        <v>117</v>
      </c>
      <c r="R147" s="52">
        <v>1.7</v>
      </c>
      <c r="S147" s="53" t="s">
        <v>123</v>
      </c>
      <c r="T147" s="52">
        <v>30</v>
      </c>
      <c r="U147" s="52"/>
      <c r="V147" s="52"/>
      <c r="W147" s="52"/>
      <c r="X147" s="52"/>
      <c r="Y147" s="52"/>
      <c r="Z147" s="52"/>
      <c r="AA147" s="52"/>
      <c r="AB147" s="52"/>
      <c r="AC147" s="52"/>
    </row>
    <row r="148" spans="1:29" s="11" customFormat="1" ht="14.25" hidden="1" customHeight="1">
      <c r="A148" s="52"/>
      <c r="B148" s="52"/>
      <c r="C148" s="53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3"/>
      <c r="R148" s="52"/>
      <c r="S148" s="53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</row>
    <row r="149" spans="1:29" ht="14.25" customHeight="1">
      <c r="A149" s="45"/>
      <c r="B149" s="51"/>
      <c r="C149" s="5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56"/>
      <c r="P149" s="45"/>
      <c r="Q149" s="45"/>
      <c r="R149" s="45"/>
      <c r="S149" s="51"/>
      <c r="T149" s="51"/>
      <c r="U149" s="45"/>
      <c r="V149" s="45"/>
      <c r="W149" s="45"/>
      <c r="X149" s="45"/>
      <c r="Y149" s="45"/>
      <c r="Z149" s="45"/>
      <c r="AA149" s="45"/>
      <c r="AB149" s="45"/>
      <c r="AC149" s="45"/>
    </row>
    <row r="150" spans="1:29" ht="14.25" customHeight="1" thickBot="1">
      <c r="A150" s="45"/>
      <c r="B150" s="51"/>
      <c r="C150" s="45" t="s">
        <v>19</v>
      </c>
      <c r="D150" s="59">
        <f>ROUND((F107*1.7+F109*1.7+F112*1.7+F113*1.7+F114*1.7+F115*1.7+F117*1.7)/30,1)</f>
        <v>4</v>
      </c>
      <c r="E150" s="58" t="s">
        <v>124</v>
      </c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45"/>
      <c r="V150" s="45"/>
      <c r="W150" s="45"/>
      <c r="X150" s="45"/>
      <c r="Y150" s="45"/>
      <c r="Z150" s="45"/>
      <c r="AA150" s="45"/>
      <c r="AB150" s="45"/>
      <c r="AC150" s="45"/>
    </row>
    <row r="151" spans="1:29" ht="14.2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</row>
    <row r="152" spans="1:29" ht="14.25" customHeight="1">
      <c r="A152" s="45"/>
      <c r="B152" s="51" t="s">
        <v>125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45"/>
      <c r="V152" s="45"/>
      <c r="W152" s="45"/>
      <c r="X152" s="45"/>
      <c r="Y152" s="45"/>
      <c r="Z152" s="45"/>
      <c r="AA152" s="45"/>
      <c r="AB152" s="45"/>
      <c r="AC152" s="45"/>
    </row>
    <row r="153" spans="1:29" ht="14.2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</row>
    <row r="154" spans="1:29" s="4" customFormat="1" ht="14.25" customHeight="1">
      <c r="A154" s="47"/>
      <c r="B154" s="47"/>
      <c r="C154" s="47" t="s">
        <v>126</v>
      </c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</row>
    <row r="155" spans="1:29" ht="14.2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</row>
    <row r="156" spans="1:29" s="11" customFormat="1" ht="14.25" customHeight="1">
      <c r="A156" s="52"/>
      <c r="B156" s="52"/>
      <c r="C156" s="53" t="s">
        <v>116</v>
      </c>
      <c r="D156" s="54">
        <f>$F$105</f>
        <v>2.7</v>
      </c>
      <c r="E156" s="52" t="s">
        <v>86</v>
      </c>
      <c r="F156" s="54">
        <f>$F$106</f>
        <v>21.4</v>
      </c>
      <c r="G156" s="52" t="s">
        <v>86</v>
      </c>
      <c r="H156" s="54">
        <f>$F$107</f>
        <v>5.2</v>
      </c>
      <c r="I156" s="52" t="s">
        <v>86</v>
      </c>
      <c r="J156" s="54">
        <f>$F$109</f>
        <v>12.5</v>
      </c>
      <c r="K156" s="52" t="s">
        <v>86</v>
      </c>
      <c r="L156" s="54">
        <f>$F$112</f>
        <v>8</v>
      </c>
      <c r="M156" s="52" t="s">
        <v>86</v>
      </c>
      <c r="N156" s="54">
        <f>$F$113</f>
        <v>8.1</v>
      </c>
      <c r="O156" s="52" t="s">
        <v>86</v>
      </c>
      <c r="P156" s="54">
        <f>$F$114</f>
        <v>2.5</v>
      </c>
      <c r="Q156" s="52" t="s">
        <v>86</v>
      </c>
      <c r="R156" s="54">
        <f>$F$115</f>
        <v>25.4</v>
      </c>
      <c r="S156" s="52" t="s">
        <v>86</v>
      </c>
      <c r="T156" s="54">
        <f>$F$116</f>
        <v>4.2</v>
      </c>
      <c r="U156" s="52"/>
      <c r="V156" s="52"/>
      <c r="W156" s="53"/>
      <c r="X156" s="52"/>
      <c r="Y156" s="52"/>
      <c r="Z156" s="52"/>
      <c r="AA156" s="52"/>
      <c r="AB156" s="52"/>
      <c r="AC156" s="52"/>
    </row>
    <row r="157" spans="1:29" s="11" customFormat="1" ht="14.25" customHeight="1">
      <c r="A157" s="52"/>
      <c r="B157" s="52"/>
      <c r="C157" s="53"/>
      <c r="D157" s="52" t="s">
        <v>86</v>
      </c>
      <c r="E157" s="54">
        <f>$F$117</f>
        <v>9</v>
      </c>
      <c r="F157" s="52" t="s">
        <v>117</v>
      </c>
      <c r="G157" s="52">
        <v>1.7</v>
      </c>
      <c r="H157" s="52" t="s">
        <v>123</v>
      </c>
      <c r="I157" s="52">
        <v>30</v>
      </c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3"/>
      <c r="X157" s="52"/>
      <c r="Y157" s="52"/>
      <c r="Z157" s="52"/>
      <c r="AA157" s="52"/>
      <c r="AB157" s="52"/>
      <c r="AC157" s="52"/>
    </row>
    <row r="158" spans="1:29" ht="14.25" customHeight="1">
      <c r="A158" s="45"/>
      <c r="B158" s="51"/>
      <c r="C158" s="5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51"/>
      <c r="U158" s="45"/>
      <c r="V158" s="45"/>
      <c r="W158" s="45"/>
      <c r="X158" s="45"/>
      <c r="Y158" s="45"/>
      <c r="Z158" s="45"/>
      <c r="AA158" s="45"/>
      <c r="AB158" s="45"/>
      <c r="AC158" s="45"/>
    </row>
    <row r="159" spans="1:29" ht="14.25" customHeight="1" thickBot="1">
      <c r="A159" s="45"/>
      <c r="B159" s="45"/>
      <c r="C159" s="45" t="s">
        <v>19</v>
      </c>
      <c r="D159" s="59">
        <f>ROUND((F105*1.7+F106*1.7+F107*1.7+F109*1.7+F112*1.7+F113*1.7+F114*1.7+F115*1.7+F116*1.7+F117*1.7)/30,1)</f>
        <v>5.6</v>
      </c>
      <c r="E159" s="58" t="s">
        <v>124</v>
      </c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</row>
    <row r="160" spans="1:29" ht="14.25" customHeight="1"/>
    <row r="161" spans="2:16" ht="14.25" hidden="1" customHeight="1">
      <c r="B161" s="51" t="s">
        <v>180</v>
      </c>
    </row>
    <row r="162" spans="2:16" ht="14.25" hidden="1" customHeight="1"/>
    <row r="163" spans="2:16" s="4" customFormat="1" ht="14.25" hidden="1" customHeight="1">
      <c r="C163" s="47" t="s">
        <v>127</v>
      </c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2:16" ht="14.25" hidden="1" customHeight="1">
      <c r="C164" s="51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51"/>
      <c r="P164" s="51"/>
    </row>
    <row r="165" spans="2:16" s="11" customFormat="1" ht="14.25" hidden="1" customHeight="1">
      <c r="C165" s="53" t="s">
        <v>116</v>
      </c>
      <c r="D165" s="54">
        <f>$F$107</f>
        <v>5.2</v>
      </c>
      <c r="E165" s="52" t="s">
        <v>86</v>
      </c>
      <c r="F165" s="54">
        <f>$F$109</f>
        <v>12.5</v>
      </c>
      <c r="G165" s="52" t="s">
        <v>117</v>
      </c>
      <c r="H165" s="52">
        <v>1.7</v>
      </c>
      <c r="I165" s="52"/>
      <c r="J165" s="52"/>
      <c r="K165" s="52"/>
      <c r="L165" s="52"/>
      <c r="M165" s="52"/>
      <c r="N165" s="52"/>
      <c r="O165" s="52"/>
      <c r="P165" s="52"/>
    </row>
    <row r="166" spans="2:16" ht="14.25" hidden="1" customHeight="1">
      <c r="C166" s="55"/>
      <c r="D166" s="45"/>
      <c r="E166" s="45"/>
      <c r="F166" s="45"/>
      <c r="G166" s="45"/>
      <c r="H166" s="45"/>
      <c r="I166" s="45"/>
      <c r="J166" s="45"/>
      <c r="K166" s="45"/>
      <c r="L166" s="45"/>
      <c r="M166" s="56"/>
      <c r="N166" s="45"/>
      <c r="O166" s="45"/>
      <c r="P166" s="45"/>
    </row>
    <row r="167" spans="2:16" ht="14.25" hidden="1" customHeight="1">
      <c r="C167" s="45" t="s">
        <v>19</v>
      </c>
      <c r="D167" s="57">
        <f>ROUND((F107*1.7+F109*1.7),0)</f>
        <v>30</v>
      </c>
      <c r="E167" s="58" t="s">
        <v>118</v>
      </c>
      <c r="F167" s="51"/>
      <c r="G167" s="51"/>
      <c r="H167" s="51"/>
      <c r="I167" s="51"/>
      <c r="J167" s="51"/>
      <c r="K167" s="51"/>
      <c r="L167" s="51"/>
      <c r="M167" s="51"/>
      <c r="N167" s="51"/>
      <c r="O167" s="45"/>
      <c r="P167" s="45"/>
    </row>
    <row r="168" spans="2:16" ht="14.25" hidden="1" customHeight="1"/>
    <row r="169" spans="2:16" ht="14.25" hidden="1" customHeight="1">
      <c r="B169" s="2" t="s">
        <v>181</v>
      </c>
    </row>
    <row r="170" spans="2:16" ht="14.25" hidden="1" customHeight="1"/>
    <row r="171" spans="2:16" s="4" customFormat="1" ht="14.25" hidden="1" customHeight="1">
      <c r="C171" s="47" t="str">
        <f>"｛" &amp; H110 &amp; "｝×1.7"</f>
        <v>｛｝×1.7</v>
      </c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spans="2:16" ht="14.25" hidden="1" customHeight="1">
      <c r="C172" s="51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51"/>
      <c r="P172" s="51"/>
    </row>
    <row r="173" spans="2:16" s="11" customFormat="1" ht="14.25" hidden="1" customHeight="1">
      <c r="C173" s="52" t="s">
        <v>182</v>
      </c>
      <c r="D173" s="54">
        <f>F110</f>
        <v>0</v>
      </c>
      <c r="E173" s="52" t="s">
        <v>183</v>
      </c>
      <c r="F173" s="52">
        <v>1.7</v>
      </c>
      <c r="G173" s="52"/>
      <c r="H173" s="52"/>
      <c r="I173" s="52"/>
      <c r="J173" s="52"/>
      <c r="K173" s="52"/>
      <c r="L173" s="52"/>
      <c r="M173" s="52"/>
      <c r="N173" s="52"/>
      <c r="O173" s="52"/>
      <c r="P173" s="52"/>
    </row>
    <row r="174" spans="2:16" ht="14.25" hidden="1" customHeight="1">
      <c r="C174" s="55"/>
      <c r="D174" s="45"/>
      <c r="E174" s="45"/>
      <c r="F174" s="45"/>
      <c r="G174" s="45"/>
      <c r="H174" s="45"/>
      <c r="I174" s="45"/>
      <c r="J174" s="45"/>
      <c r="K174" s="45"/>
      <c r="L174" s="45"/>
      <c r="M174" s="56"/>
      <c r="N174" s="45"/>
      <c r="O174" s="45"/>
      <c r="P174" s="45"/>
    </row>
    <row r="175" spans="2:16" ht="14.25" hidden="1" customHeight="1">
      <c r="C175" s="45" t="s">
        <v>19</v>
      </c>
      <c r="D175" s="57">
        <f>ROUND(F110*1.7,1)</f>
        <v>0</v>
      </c>
      <c r="E175" s="58" t="s">
        <v>118</v>
      </c>
      <c r="F175" s="51"/>
      <c r="G175" s="51"/>
      <c r="H175" s="51"/>
      <c r="I175" s="51"/>
      <c r="J175" s="51"/>
      <c r="K175" s="51"/>
      <c r="L175" s="51"/>
      <c r="M175" s="51"/>
      <c r="N175" s="51"/>
      <c r="O175" s="45"/>
      <c r="P175" s="45"/>
    </row>
    <row r="176" spans="2:16" ht="14.25" hidden="1" customHeight="1"/>
    <row r="177" spans="2:16" ht="14.25" hidden="1" customHeight="1">
      <c r="B177" s="2" t="s">
        <v>184</v>
      </c>
    </row>
    <row r="178" spans="2:16" ht="14.25" hidden="1" customHeight="1"/>
    <row r="179" spans="2:16" s="4" customFormat="1" ht="14.25" hidden="1" customHeight="1">
      <c r="C179" s="47" t="s">
        <v>127</v>
      </c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2:16" ht="14.25" hidden="1" customHeight="1">
      <c r="C180" s="51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51"/>
      <c r="P180" s="51"/>
    </row>
    <row r="181" spans="2:16" s="11" customFormat="1" ht="14.25" hidden="1" customHeight="1">
      <c r="C181" s="53" t="s">
        <v>116</v>
      </c>
      <c r="D181" s="54">
        <f>$F$107</f>
        <v>5.2</v>
      </c>
      <c r="E181" s="52" t="s">
        <v>86</v>
      </c>
      <c r="F181" s="54">
        <f>$F$109</f>
        <v>12.5</v>
      </c>
      <c r="G181" s="52" t="s">
        <v>117</v>
      </c>
      <c r="H181" s="52">
        <v>1.7</v>
      </c>
      <c r="I181" s="52"/>
      <c r="J181" s="52"/>
      <c r="K181" s="52"/>
      <c r="L181" s="52"/>
      <c r="M181" s="52"/>
      <c r="N181" s="52"/>
      <c r="O181" s="52"/>
      <c r="P181" s="52"/>
    </row>
    <row r="182" spans="2:16" ht="14.25" hidden="1" customHeight="1">
      <c r="C182" s="55"/>
      <c r="D182" s="45"/>
      <c r="E182" s="45"/>
      <c r="F182" s="45"/>
      <c r="G182" s="45"/>
      <c r="H182" s="45"/>
      <c r="I182" s="45"/>
      <c r="J182" s="45"/>
      <c r="K182" s="45"/>
      <c r="L182" s="45"/>
      <c r="M182" s="56"/>
      <c r="N182" s="45"/>
      <c r="O182" s="45"/>
      <c r="P182" s="45"/>
    </row>
    <row r="183" spans="2:16" ht="14.25" hidden="1" customHeight="1">
      <c r="C183" s="45" t="s">
        <v>19</v>
      </c>
      <c r="D183" s="57">
        <f>ROUND((F107*1.7+F109*1.7),0)</f>
        <v>30</v>
      </c>
      <c r="E183" s="58" t="s">
        <v>118</v>
      </c>
      <c r="F183" s="51"/>
      <c r="G183" s="51"/>
      <c r="H183" s="51"/>
      <c r="I183" s="51"/>
      <c r="J183" s="51"/>
      <c r="K183" s="51"/>
      <c r="L183" s="51"/>
      <c r="M183" s="51"/>
      <c r="N183" s="51"/>
      <c r="O183" s="45"/>
      <c r="P183" s="45"/>
    </row>
  </sheetData>
  <mergeCells count="139">
    <mergeCell ref="J10:K10"/>
    <mergeCell ref="B12:C12"/>
    <mergeCell ref="F12:G12"/>
    <mergeCell ref="J12:K12"/>
    <mergeCell ref="B14:C14"/>
    <mergeCell ref="F14:G14"/>
    <mergeCell ref="B16:D16"/>
    <mergeCell ref="B17:D17"/>
    <mergeCell ref="B19:D19"/>
    <mergeCell ref="B20:D20"/>
    <mergeCell ref="G20:I20"/>
    <mergeCell ref="B7:C7"/>
    <mergeCell ref="F7:G7"/>
    <mergeCell ref="B10:C10"/>
    <mergeCell ref="F10:G10"/>
    <mergeCell ref="C29:E29"/>
    <mergeCell ref="G29:H29"/>
    <mergeCell ref="J29:K29"/>
    <mergeCell ref="M29:O29"/>
    <mergeCell ref="C30:E30"/>
    <mergeCell ref="G30:H30"/>
    <mergeCell ref="M30:O30"/>
    <mergeCell ref="L20:N20"/>
    <mergeCell ref="B22:C22"/>
    <mergeCell ref="F22:G22"/>
    <mergeCell ref="G27:I27"/>
    <mergeCell ref="J27:Q27"/>
    <mergeCell ref="B28:D28"/>
    <mergeCell ref="G28:H28"/>
    <mergeCell ref="C34:E34"/>
    <mergeCell ref="G34:H34"/>
    <mergeCell ref="J35:N35"/>
    <mergeCell ref="O35:P35"/>
    <mergeCell ref="K40:N40"/>
    <mergeCell ref="B45:F45"/>
    <mergeCell ref="C31:E31"/>
    <mergeCell ref="G31:H31"/>
    <mergeCell ref="M31:O31"/>
    <mergeCell ref="C32:E32"/>
    <mergeCell ref="G32:H32"/>
    <mergeCell ref="C33:E33"/>
    <mergeCell ref="G33:H33"/>
    <mergeCell ref="B55:C55"/>
    <mergeCell ref="D55:E55"/>
    <mergeCell ref="B56:C56"/>
    <mergeCell ref="D56:E56"/>
    <mergeCell ref="B57:C57"/>
    <mergeCell ref="D57:E57"/>
    <mergeCell ref="B50:E50"/>
    <mergeCell ref="B52:C52"/>
    <mergeCell ref="D52:E52"/>
    <mergeCell ref="B53:C53"/>
    <mergeCell ref="D53:E53"/>
    <mergeCell ref="B54:C54"/>
    <mergeCell ref="D54:E54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67:C67"/>
    <mergeCell ref="D67:E67"/>
    <mergeCell ref="B68:C68"/>
    <mergeCell ref="D68:E68"/>
    <mergeCell ref="B69:C69"/>
    <mergeCell ref="D69:E69"/>
    <mergeCell ref="B64:C64"/>
    <mergeCell ref="D64:E64"/>
    <mergeCell ref="B65:C65"/>
    <mergeCell ref="D65:E65"/>
    <mergeCell ref="B66:C66"/>
    <mergeCell ref="D66:E66"/>
    <mergeCell ref="B73:C73"/>
    <mergeCell ref="D73:E73"/>
    <mergeCell ref="B74:C74"/>
    <mergeCell ref="D74:E74"/>
    <mergeCell ref="B75:C75"/>
    <mergeCell ref="D75:E75"/>
    <mergeCell ref="B70:C70"/>
    <mergeCell ref="D70:E70"/>
    <mergeCell ref="B71:C71"/>
    <mergeCell ref="D71:E71"/>
    <mergeCell ref="B72:C72"/>
    <mergeCell ref="D72:E72"/>
    <mergeCell ref="B79:C79"/>
    <mergeCell ref="D79:E79"/>
    <mergeCell ref="B80:C80"/>
    <mergeCell ref="D80:E80"/>
    <mergeCell ref="B81:C81"/>
    <mergeCell ref="D81:E81"/>
    <mergeCell ref="B76:C76"/>
    <mergeCell ref="D76:E76"/>
    <mergeCell ref="B77:C77"/>
    <mergeCell ref="D77:E77"/>
    <mergeCell ref="B78:C78"/>
    <mergeCell ref="D78:E78"/>
    <mergeCell ref="B106:E106"/>
    <mergeCell ref="F106:G106"/>
    <mergeCell ref="B107:E107"/>
    <mergeCell ref="F107:G107"/>
    <mergeCell ref="B108:E108"/>
    <mergeCell ref="F108:G108"/>
    <mergeCell ref="B82:C82"/>
    <mergeCell ref="D82:E82"/>
    <mergeCell ref="B87:E87"/>
    <mergeCell ref="B104:E104"/>
    <mergeCell ref="F104:G104"/>
    <mergeCell ref="B105:E105"/>
    <mergeCell ref="F105:G105"/>
    <mergeCell ref="B112:E112"/>
    <mergeCell ref="F112:G112"/>
    <mergeCell ref="B113:E113"/>
    <mergeCell ref="F113:G113"/>
    <mergeCell ref="B114:E114"/>
    <mergeCell ref="F114:G114"/>
    <mergeCell ref="B109:E109"/>
    <mergeCell ref="F109:G109"/>
    <mergeCell ref="B110:E110"/>
    <mergeCell ref="F110:G110"/>
    <mergeCell ref="B111:E111"/>
    <mergeCell ref="F111:G111"/>
    <mergeCell ref="B118:E118"/>
    <mergeCell ref="F118:G118"/>
    <mergeCell ref="B119:E119"/>
    <mergeCell ref="F119:G119"/>
    <mergeCell ref="B115:C116"/>
    <mergeCell ref="D115:E115"/>
    <mergeCell ref="F115:G115"/>
    <mergeCell ref="D116:E116"/>
    <mergeCell ref="F116:G116"/>
    <mergeCell ref="B117:E117"/>
    <mergeCell ref="F117:G117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0"/>
  <sheetViews>
    <sheetView workbookViewId="0">
      <selection activeCell="A2" sqref="A2"/>
    </sheetView>
  </sheetViews>
  <sheetFormatPr defaultColWidth="5.625" defaultRowHeight="12"/>
  <cols>
    <col min="1" max="3" width="5.625" style="60"/>
    <col min="4" max="4" width="8.625" style="60" bestFit="1" customWidth="1"/>
    <col min="5" max="5" width="7.625" style="60" bestFit="1" customWidth="1"/>
    <col min="6" max="8" width="8.625" style="60" bestFit="1" customWidth="1"/>
    <col min="9" max="9" width="5.625" style="60"/>
    <col min="10" max="10" width="6.75" style="60" bestFit="1" customWidth="1"/>
    <col min="11" max="11" width="5.625" style="60"/>
    <col min="12" max="12" width="6" style="60" bestFit="1" customWidth="1"/>
    <col min="13" max="13" width="5.625" style="60"/>
    <col min="14" max="14" width="5.75" style="60" bestFit="1" customWidth="1"/>
    <col min="15" max="19" width="5.625" style="60"/>
    <col min="20" max="20" width="7.625" style="60" bestFit="1" customWidth="1"/>
    <col min="21" max="259" width="5.625" style="60"/>
    <col min="260" max="260" width="8.625" style="60" bestFit="1" customWidth="1"/>
    <col min="261" max="261" width="7.625" style="60" bestFit="1" customWidth="1"/>
    <col min="262" max="264" width="8.625" style="60" bestFit="1" customWidth="1"/>
    <col min="265" max="265" width="5.625" style="60"/>
    <col min="266" max="266" width="6.75" style="60" bestFit="1" customWidth="1"/>
    <col min="267" max="267" width="5.625" style="60"/>
    <col min="268" max="268" width="6" style="60" bestFit="1" customWidth="1"/>
    <col min="269" max="269" width="5.625" style="60"/>
    <col min="270" max="270" width="5.75" style="60" bestFit="1" customWidth="1"/>
    <col min="271" max="275" width="5.625" style="60"/>
    <col min="276" max="276" width="7.625" style="60" bestFit="1" customWidth="1"/>
    <col min="277" max="515" width="5.625" style="60"/>
    <col min="516" max="516" width="8.625" style="60" bestFit="1" customWidth="1"/>
    <col min="517" max="517" width="7.625" style="60" bestFit="1" customWidth="1"/>
    <col min="518" max="520" width="8.625" style="60" bestFit="1" customWidth="1"/>
    <col min="521" max="521" width="5.625" style="60"/>
    <col min="522" max="522" width="6.75" style="60" bestFit="1" customWidth="1"/>
    <col min="523" max="523" width="5.625" style="60"/>
    <col min="524" max="524" width="6" style="60" bestFit="1" customWidth="1"/>
    <col min="525" max="525" width="5.625" style="60"/>
    <col min="526" max="526" width="5.75" style="60" bestFit="1" customWidth="1"/>
    <col min="527" max="531" width="5.625" style="60"/>
    <col min="532" max="532" width="7.625" style="60" bestFit="1" customWidth="1"/>
    <col min="533" max="771" width="5.625" style="60"/>
    <col min="772" max="772" width="8.625" style="60" bestFit="1" customWidth="1"/>
    <col min="773" max="773" width="7.625" style="60" bestFit="1" customWidth="1"/>
    <col min="774" max="776" width="8.625" style="60" bestFit="1" customWidth="1"/>
    <col min="777" max="777" width="5.625" style="60"/>
    <col min="778" max="778" width="6.75" style="60" bestFit="1" customWidth="1"/>
    <col min="779" max="779" width="5.625" style="60"/>
    <col min="780" max="780" width="6" style="60" bestFit="1" customWidth="1"/>
    <col min="781" max="781" width="5.625" style="60"/>
    <col min="782" max="782" width="5.75" style="60" bestFit="1" customWidth="1"/>
    <col min="783" max="787" width="5.625" style="60"/>
    <col min="788" max="788" width="7.625" style="60" bestFit="1" customWidth="1"/>
    <col min="789" max="1027" width="5.625" style="60"/>
    <col min="1028" max="1028" width="8.625" style="60" bestFit="1" customWidth="1"/>
    <col min="1029" max="1029" width="7.625" style="60" bestFit="1" customWidth="1"/>
    <col min="1030" max="1032" width="8.625" style="60" bestFit="1" customWidth="1"/>
    <col min="1033" max="1033" width="5.625" style="60"/>
    <col min="1034" max="1034" width="6.75" style="60" bestFit="1" customWidth="1"/>
    <col min="1035" max="1035" width="5.625" style="60"/>
    <col min="1036" max="1036" width="6" style="60" bestFit="1" customWidth="1"/>
    <col min="1037" max="1037" width="5.625" style="60"/>
    <col min="1038" max="1038" width="5.75" style="60" bestFit="1" customWidth="1"/>
    <col min="1039" max="1043" width="5.625" style="60"/>
    <col min="1044" max="1044" width="7.625" style="60" bestFit="1" customWidth="1"/>
    <col min="1045" max="1283" width="5.625" style="60"/>
    <col min="1284" max="1284" width="8.625" style="60" bestFit="1" customWidth="1"/>
    <col min="1285" max="1285" width="7.625" style="60" bestFit="1" customWidth="1"/>
    <col min="1286" max="1288" width="8.625" style="60" bestFit="1" customWidth="1"/>
    <col min="1289" max="1289" width="5.625" style="60"/>
    <col min="1290" max="1290" width="6.75" style="60" bestFit="1" customWidth="1"/>
    <col min="1291" max="1291" width="5.625" style="60"/>
    <col min="1292" max="1292" width="6" style="60" bestFit="1" customWidth="1"/>
    <col min="1293" max="1293" width="5.625" style="60"/>
    <col min="1294" max="1294" width="5.75" style="60" bestFit="1" customWidth="1"/>
    <col min="1295" max="1299" width="5.625" style="60"/>
    <col min="1300" max="1300" width="7.625" style="60" bestFit="1" customWidth="1"/>
    <col min="1301" max="1539" width="5.625" style="60"/>
    <col min="1540" max="1540" width="8.625" style="60" bestFit="1" customWidth="1"/>
    <col min="1541" max="1541" width="7.625" style="60" bestFit="1" customWidth="1"/>
    <col min="1542" max="1544" width="8.625" style="60" bestFit="1" customWidth="1"/>
    <col min="1545" max="1545" width="5.625" style="60"/>
    <col min="1546" max="1546" width="6.75" style="60" bestFit="1" customWidth="1"/>
    <col min="1547" max="1547" width="5.625" style="60"/>
    <col min="1548" max="1548" width="6" style="60" bestFit="1" customWidth="1"/>
    <col min="1549" max="1549" width="5.625" style="60"/>
    <col min="1550" max="1550" width="5.75" style="60" bestFit="1" customWidth="1"/>
    <col min="1551" max="1555" width="5.625" style="60"/>
    <col min="1556" max="1556" width="7.625" style="60" bestFit="1" customWidth="1"/>
    <col min="1557" max="1795" width="5.625" style="60"/>
    <col min="1796" max="1796" width="8.625" style="60" bestFit="1" customWidth="1"/>
    <col min="1797" max="1797" width="7.625" style="60" bestFit="1" customWidth="1"/>
    <col min="1798" max="1800" width="8.625" style="60" bestFit="1" customWidth="1"/>
    <col min="1801" max="1801" width="5.625" style="60"/>
    <col min="1802" max="1802" width="6.75" style="60" bestFit="1" customWidth="1"/>
    <col min="1803" max="1803" width="5.625" style="60"/>
    <col min="1804" max="1804" width="6" style="60" bestFit="1" customWidth="1"/>
    <col min="1805" max="1805" width="5.625" style="60"/>
    <col min="1806" max="1806" width="5.75" style="60" bestFit="1" customWidth="1"/>
    <col min="1807" max="1811" width="5.625" style="60"/>
    <col min="1812" max="1812" width="7.625" style="60" bestFit="1" customWidth="1"/>
    <col min="1813" max="2051" width="5.625" style="60"/>
    <col min="2052" max="2052" width="8.625" style="60" bestFit="1" customWidth="1"/>
    <col min="2053" max="2053" width="7.625" style="60" bestFit="1" customWidth="1"/>
    <col min="2054" max="2056" width="8.625" style="60" bestFit="1" customWidth="1"/>
    <col min="2057" max="2057" width="5.625" style="60"/>
    <col min="2058" max="2058" width="6.75" style="60" bestFit="1" customWidth="1"/>
    <col min="2059" max="2059" width="5.625" style="60"/>
    <col min="2060" max="2060" width="6" style="60" bestFit="1" customWidth="1"/>
    <col min="2061" max="2061" width="5.625" style="60"/>
    <col min="2062" max="2062" width="5.75" style="60" bestFit="1" customWidth="1"/>
    <col min="2063" max="2067" width="5.625" style="60"/>
    <col min="2068" max="2068" width="7.625" style="60" bestFit="1" customWidth="1"/>
    <col min="2069" max="2307" width="5.625" style="60"/>
    <col min="2308" max="2308" width="8.625" style="60" bestFit="1" customWidth="1"/>
    <col min="2309" max="2309" width="7.625" style="60" bestFit="1" customWidth="1"/>
    <col min="2310" max="2312" width="8.625" style="60" bestFit="1" customWidth="1"/>
    <col min="2313" max="2313" width="5.625" style="60"/>
    <col min="2314" max="2314" width="6.75" style="60" bestFit="1" customWidth="1"/>
    <col min="2315" max="2315" width="5.625" style="60"/>
    <col min="2316" max="2316" width="6" style="60" bestFit="1" customWidth="1"/>
    <col min="2317" max="2317" width="5.625" style="60"/>
    <col min="2318" max="2318" width="5.75" style="60" bestFit="1" customWidth="1"/>
    <col min="2319" max="2323" width="5.625" style="60"/>
    <col min="2324" max="2324" width="7.625" style="60" bestFit="1" customWidth="1"/>
    <col min="2325" max="2563" width="5.625" style="60"/>
    <col min="2564" max="2564" width="8.625" style="60" bestFit="1" customWidth="1"/>
    <col min="2565" max="2565" width="7.625" style="60" bestFit="1" customWidth="1"/>
    <col min="2566" max="2568" width="8.625" style="60" bestFit="1" customWidth="1"/>
    <col min="2569" max="2569" width="5.625" style="60"/>
    <col min="2570" max="2570" width="6.75" style="60" bestFit="1" customWidth="1"/>
    <col min="2571" max="2571" width="5.625" style="60"/>
    <col min="2572" max="2572" width="6" style="60" bestFit="1" customWidth="1"/>
    <col min="2573" max="2573" width="5.625" style="60"/>
    <col min="2574" max="2574" width="5.75" style="60" bestFit="1" customWidth="1"/>
    <col min="2575" max="2579" width="5.625" style="60"/>
    <col min="2580" max="2580" width="7.625" style="60" bestFit="1" customWidth="1"/>
    <col min="2581" max="2819" width="5.625" style="60"/>
    <col min="2820" max="2820" width="8.625" style="60" bestFit="1" customWidth="1"/>
    <col min="2821" max="2821" width="7.625" style="60" bestFit="1" customWidth="1"/>
    <col min="2822" max="2824" width="8.625" style="60" bestFit="1" customWidth="1"/>
    <col min="2825" max="2825" width="5.625" style="60"/>
    <col min="2826" max="2826" width="6.75" style="60" bestFit="1" customWidth="1"/>
    <col min="2827" max="2827" width="5.625" style="60"/>
    <col min="2828" max="2828" width="6" style="60" bestFit="1" customWidth="1"/>
    <col min="2829" max="2829" width="5.625" style="60"/>
    <col min="2830" max="2830" width="5.75" style="60" bestFit="1" customWidth="1"/>
    <col min="2831" max="2835" width="5.625" style="60"/>
    <col min="2836" max="2836" width="7.625" style="60" bestFit="1" customWidth="1"/>
    <col min="2837" max="3075" width="5.625" style="60"/>
    <col min="3076" max="3076" width="8.625" style="60" bestFit="1" customWidth="1"/>
    <col min="3077" max="3077" width="7.625" style="60" bestFit="1" customWidth="1"/>
    <col min="3078" max="3080" width="8.625" style="60" bestFit="1" customWidth="1"/>
    <col min="3081" max="3081" width="5.625" style="60"/>
    <col min="3082" max="3082" width="6.75" style="60" bestFit="1" customWidth="1"/>
    <col min="3083" max="3083" width="5.625" style="60"/>
    <col min="3084" max="3084" width="6" style="60" bestFit="1" customWidth="1"/>
    <col min="3085" max="3085" width="5.625" style="60"/>
    <col min="3086" max="3086" width="5.75" style="60" bestFit="1" customWidth="1"/>
    <col min="3087" max="3091" width="5.625" style="60"/>
    <col min="3092" max="3092" width="7.625" style="60" bestFit="1" customWidth="1"/>
    <col min="3093" max="3331" width="5.625" style="60"/>
    <col min="3332" max="3332" width="8.625" style="60" bestFit="1" customWidth="1"/>
    <col min="3333" max="3333" width="7.625" style="60" bestFit="1" customWidth="1"/>
    <col min="3334" max="3336" width="8.625" style="60" bestFit="1" customWidth="1"/>
    <col min="3337" max="3337" width="5.625" style="60"/>
    <col min="3338" max="3338" width="6.75" style="60" bestFit="1" customWidth="1"/>
    <col min="3339" max="3339" width="5.625" style="60"/>
    <col min="3340" max="3340" width="6" style="60" bestFit="1" customWidth="1"/>
    <col min="3341" max="3341" width="5.625" style="60"/>
    <col min="3342" max="3342" width="5.75" style="60" bestFit="1" customWidth="1"/>
    <col min="3343" max="3347" width="5.625" style="60"/>
    <col min="3348" max="3348" width="7.625" style="60" bestFit="1" customWidth="1"/>
    <col min="3349" max="3587" width="5.625" style="60"/>
    <col min="3588" max="3588" width="8.625" style="60" bestFit="1" customWidth="1"/>
    <col min="3589" max="3589" width="7.625" style="60" bestFit="1" customWidth="1"/>
    <col min="3590" max="3592" width="8.625" style="60" bestFit="1" customWidth="1"/>
    <col min="3593" max="3593" width="5.625" style="60"/>
    <col min="3594" max="3594" width="6.75" style="60" bestFit="1" customWidth="1"/>
    <col min="3595" max="3595" width="5.625" style="60"/>
    <col min="3596" max="3596" width="6" style="60" bestFit="1" customWidth="1"/>
    <col min="3597" max="3597" width="5.625" style="60"/>
    <col min="3598" max="3598" width="5.75" style="60" bestFit="1" customWidth="1"/>
    <col min="3599" max="3603" width="5.625" style="60"/>
    <col min="3604" max="3604" width="7.625" style="60" bestFit="1" customWidth="1"/>
    <col min="3605" max="3843" width="5.625" style="60"/>
    <col min="3844" max="3844" width="8.625" style="60" bestFit="1" customWidth="1"/>
    <col min="3845" max="3845" width="7.625" style="60" bestFit="1" customWidth="1"/>
    <col min="3846" max="3848" width="8.625" style="60" bestFit="1" customWidth="1"/>
    <col min="3849" max="3849" width="5.625" style="60"/>
    <col min="3850" max="3850" width="6.75" style="60" bestFit="1" customWidth="1"/>
    <col min="3851" max="3851" width="5.625" style="60"/>
    <col min="3852" max="3852" width="6" style="60" bestFit="1" customWidth="1"/>
    <col min="3853" max="3853" width="5.625" style="60"/>
    <col min="3854" max="3854" width="5.75" style="60" bestFit="1" customWidth="1"/>
    <col min="3855" max="3859" width="5.625" style="60"/>
    <col min="3860" max="3860" width="7.625" style="60" bestFit="1" customWidth="1"/>
    <col min="3861" max="4099" width="5.625" style="60"/>
    <col min="4100" max="4100" width="8.625" style="60" bestFit="1" customWidth="1"/>
    <col min="4101" max="4101" width="7.625" style="60" bestFit="1" customWidth="1"/>
    <col min="4102" max="4104" width="8.625" style="60" bestFit="1" customWidth="1"/>
    <col min="4105" max="4105" width="5.625" style="60"/>
    <col min="4106" max="4106" width="6.75" style="60" bestFit="1" customWidth="1"/>
    <col min="4107" max="4107" width="5.625" style="60"/>
    <col min="4108" max="4108" width="6" style="60" bestFit="1" customWidth="1"/>
    <col min="4109" max="4109" width="5.625" style="60"/>
    <col min="4110" max="4110" width="5.75" style="60" bestFit="1" customWidth="1"/>
    <col min="4111" max="4115" width="5.625" style="60"/>
    <col min="4116" max="4116" width="7.625" style="60" bestFit="1" customWidth="1"/>
    <col min="4117" max="4355" width="5.625" style="60"/>
    <col min="4356" max="4356" width="8.625" style="60" bestFit="1" customWidth="1"/>
    <col min="4357" max="4357" width="7.625" style="60" bestFit="1" customWidth="1"/>
    <col min="4358" max="4360" width="8.625" style="60" bestFit="1" customWidth="1"/>
    <col min="4361" max="4361" width="5.625" style="60"/>
    <col min="4362" max="4362" width="6.75" style="60" bestFit="1" customWidth="1"/>
    <col min="4363" max="4363" width="5.625" style="60"/>
    <col min="4364" max="4364" width="6" style="60" bestFit="1" customWidth="1"/>
    <col min="4365" max="4365" width="5.625" style="60"/>
    <col min="4366" max="4366" width="5.75" style="60" bestFit="1" customWidth="1"/>
    <col min="4367" max="4371" width="5.625" style="60"/>
    <col min="4372" max="4372" width="7.625" style="60" bestFit="1" customWidth="1"/>
    <col min="4373" max="4611" width="5.625" style="60"/>
    <col min="4612" max="4612" width="8.625" style="60" bestFit="1" customWidth="1"/>
    <col min="4613" max="4613" width="7.625" style="60" bestFit="1" customWidth="1"/>
    <col min="4614" max="4616" width="8.625" style="60" bestFit="1" customWidth="1"/>
    <col min="4617" max="4617" width="5.625" style="60"/>
    <col min="4618" max="4618" width="6.75" style="60" bestFit="1" customWidth="1"/>
    <col min="4619" max="4619" width="5.625" style="60"/>
    <col min="4620" max="4620" width="6" style="60" bestFit="1" customWidth="1"/>
    <col min="4621" max="4621" width="5.625" style="60"/>
    <col min="4622" max="4622" width="5.75" style="60" bestFit="1" customWidth="1"/>
    <col min="4623" max="4627" width="5.625" style="60"/>
    <col min="4628" max="4628" width="7.625" style="60" bestFit="1" customWidth="1"/>
    <col min="4629" max="4867" width="5.625" style="60"/>
    <col min="4868" max="4868" width="8.625" style="60" bestFit="1" customWidth="1"/>
    <col min="4869" max="4869" width="7.625" style="60" bestFit="1" customWidth="1"/>
    <col min="4870" max="4872" width="8.625" style="60" bestFit="1" customWidth="1"/>
    <col min="4873" max="4873" width="5.625" style="60"/>
    <col min="4874" max="4874" width="6.75" style="60" bestFit="1" customWidth="1"/>
    <col min="4875" max="4875" width="5.625" style="60"/>
    <col min="4876" max="4876" width="6" style="60" bestFit="1" customWidth="1"/>
    <col min="4877" max="4877" width="5.625" style="60"/>
    <col min="4878" max="4878" width="5.75" style="60" bestFit="1" customWidth="1"/>
    <col min="4879" max="4883" width="5.625" style="60"/>
    <col min="4884" max="4884" width="7.625" style="60" bestFit="1" customWidth="1"/>
    <col min="4885" max="5123" width="5.625" style="60"/>
    <col min="5124" max="5124" width="8.625" style="60" bestFit="1" customWidth="1"/>
    <col min="5125" max="5125" width="7.625" style="60" bestFit="1" customWidth="1"/>
    <col min="5126" max="5128" width="8.625" style="60" bestFit="1" customWidth="1"/>
    <col min="5129" max="5129" width="5.625" style="60"/>
    <col min="5130" max="5130" width="6.75" style="60" bestFit="1" customWidth="1"/>
    <col min="5131" max="5131" width="5.625" style="60"/>
    <col min="5132" max="5132" width="6" style="60" bestFit="1" customWidth="1"/>
    <col min="5133" max="5133" width="5.625" style="60"/>
    <col min="5134" max="5134" width="5.75" style="60" bestFit="1" customWidth="1"/>
    <col min="5135" max="5139" width="5.625" style="60"/>
    <col min="5140" max="5140" width="7.625" style="60" bestFit="1" customWidth="1"/>
    <col min="5141" max="5379" width="5.625" style="60"/>
    <col min="5380" max="5380" width="8.625" style="60" bestFit="1" customWidth="1"/>
    <col min="5381" max="5381" width="7.625" style="60" bestFit="1" customWidth="1"/>
    <col min="5382" max="5384" width="8.625" style="60" bestFit="1" customWidth="1"/>
    <col min="5385" max="5385" width="5.625" style="60"/>
    <col min="5386" max="5386" width="6.75" style="60" bestFit="1" customWidth="1"/>
    <col min="5387" max="5387" width="5.625" style="60"/>
    <col min="5388" max="5388" width="6" style="60" bestFit="1" customWidth="1"/>
    <col min="5389" max="5389" width="5.625" style="60"/>
    <col min="5390" max="5390" width="5.75" style="60" bestFit="1" customWidth="1"/>
    <col min="5391" max="5395" width="5.625" style="60"/>
    <col min="5396" max="5396" width="7.625" style="60" bestFit="1" customWidth="1"/>
    <col min="5397" max="5635" width="5.625" style="60"/>
    <col min="5636" max="5636" width="8.625" style="60" bestFit="1" customWidth="1"/>
    <col min="5637" max="5637" width="7.625" style="60" bestFit="1" customWidth="1"/>
    <col min="5638" max="5640" width="8.625" style="60" bestFit="1" customWidth="1"/>
    <col min="5641" max="5641" width="5.625" style="60"/>
    <col min="5642" max="5642" width="6.75" style="60" bestFit="1" customWidth="1"/>
    <col min="5643" max="5643" width="5.625" style="60"/>
    <col min="5644" max="5644" width="6" style="60" bestFit="1" customWidth="1"/>
    <col min="5645" max="5645" width="5.625" style="60"/>
    <col min="5646" max="5646" width="5.75" style="60" bestFit="1" customWidth="1"/>
    <col min="5647" max="5651" width="5.625" style="60"/>
    <col min="5652" max="5652" width="7.625" style="60" bestFit="1" customWidth="1"/>
    <col min="5653" max="5891" width="5.625" style="60"/>
    <col min="5892" max="5892" width="8.625" style="60" bestFit="1" customWidth="1"/>
    <col min="5893" max="5893" width="7.625" style="60" bestFit="1" customWidth="1"/>
    <col min="5894" max="5896" width="8.625" style="60" bestFit="1" customWidth="1"/>
    <col min="5897" max="5897" width="5.625" style="60"/>
    <col min="5898" max="5898" width="6.75" style="60" bestFit="1" customWidth="1"/>
    <col min="5899" max="5899" width="5.625" style="60"/>
    <col min="5900" max="5900" width="6" style="60" bestFit="1" customWidth="1"/>
    <col min="5901" max="5901" width="5.625" style="60"/>
    <col min="5902" max="5902" width="5.75" style="60" bestFit="1" customWidth="1"/>
    <col min="5903" max="5907" width="5.625" style="60"/>
    <col min="5908" max="5908" width="7.625" style="60" bestFit="1" customWidth="1"/>
    <col min="5909" max="6147" width="5.625" style="60"/>
    <col min="6148" max="6148" width="8.625" style="60" bestFit="1" customWidth="1"/>
    <col min="6149" max="6149" width="7.625" style="60" bestFit="1" customWidth="1"/>
    <col min="6150" max="6152" width="8.625" style="60" bestFit="1" customWidth="1"/>
    <col min="6153" max="6153" width="5.625" style="60"/>
    <col min="6154" max="6154" width="6.75" style="60" bestFit="1" customWidth="1"/>
    <col min="6155" max="6155" width="5.625" style="60"/>
    <col min="6156" max="6156" width="6" style="60" bestFit="1" customWidth="1"/>
    <col min="6157" max="6157" width="5.625" style="60"/>
    <col min="6158" max="6158" width="5.75" style="60" bestFit="1" customWidth="1"/>
    <col min="6159" max="6163" width="5.625" style="60"/>
    <col min="6164" max="6164" width="7.625" style="60" bestFit="1" customWidth="1"/>
    <col min="6165" max="6403" width="5.625" style="60"/>
    <col min="6404" max="6404" width="8.625" style="60" bestFit="1" customWidth="1"/>
    <col min="6405" max="6405" width="7.625" style="60" bestFit="1" customWidth="1"/>
    <col min="6406" max="6408" width="8.625" style="60" bestFit="1" customWidth="1"/>
    <col min="6409" max="6409" width="5.625" style="60"/>
    <col min="6410" max="6410" width="6.75" style="60" bestFit="1" customWidth="1"/>
    <col min="6411" max="6411" width="5.625" style="60"/>
    <col min="6412" max="6412" width="6" style="60" bestFit="1" customWidth="1"/>
    <col min="6413" max="6413" width="5.625" style="60"/>
    <col min="6414" max="6414" width="5.75" style="60" bestFit="1" customWidth="1"/>
    <col min="6415" max="6419" width="5.625" style="60"/>
    <col min="6420" max="6420" width="7.625" style="60" bestFit="1" customWidth="1"/>
    <col min="6421" max="6659" width="5.625" style="60"/>
    <col min="6660" max="6660" width="8.625" style="60" bestFit="1" customWidth="1"/>
    <col min="6661" max="6661" width="7.625" style="60" bestFit="1" customWidth="1"/>
    <col min="6662" max="6664" width="8.625" style="60" bestFit="1" customWidth="1"/>
    <col min="6665" max="6665" width="5.625" style="60"/>
    <col min="6666" max="6666" width="6.75" style="60" bestFit="1" customWidth="1"/>
    <col min="6667" max="6667" width="5.625" style="60"/>
    <col min="6668" max="6668" width="6" style="60" bestFit="1" customWidth="1"/>
    <col min="6669" max="6669" width="5.625" style="60"/>
    <col min="6670" max="6670" width="5.75" style="60" bestFit="1" customWidth="1"/>
    <col min="6671" max="6675" width="5.625" style="60"/>
    <col min="6676" max="6676" width="7.625" style="60" bestFit="1" customWidth="1"/>
    <col min="6677" max="6915" width="5.625" style="60"/>
    <col min="6916" max="6916" width="8.625" style="60" bestFit="1" customWidth="1"/>
    <col min="6917" max="6917" width="7.625" style="60" bestFit="1" customWidth="1"/>
    <col min="6918" max="6920" width="8.625" style="60" bestFit="1" customWidth="1"/>
    <col min="6921" max="6921" width="5.625" style="60"/>
    <col min="6922" max="6922" width="6.75" style="60" bestFit="1" customWidth="1"/>
    <col min="6923" max="6923" width="5.625" style="60"/>
    <col min="6924" max="6924" width="6" style="60" bestFit="1" customWidth="1"/>
    <col min="6925" max="6925" width="5.625" style="60"/>
    <col min="6926" max="6926" width="5.75" style="60" bestFit="1" customWidth="1"/>
    <col min="6927" max="6931" width="5.625" style="60"/>
    <col min="6932" max="6932" width="7.625" style="60" bestFit="1" customWidth="1"/>
    <col min="6933" max="7171" width="5.625" style="60"/>
    <col min="7172" max="7172" width="8.625" style="60" bestFit="1" customWidth="1"/>
    <col min="7173" max="7173" width="7.625" style="60" bestFit="1" customWidth="1"/>
    <col min="7174" max="7176" width="8.625" style="60" bestFit="1" customWidth="1"/>
    <col min="7177" max="7177" width="5.625" style="60"/>
    <col min="7178" max="7178" width="6.75" style="60" bestFit="1" customWidth="1"/>
    <col min="7179" max="7179" width="5.625" style="60"/>
    <col min="7180" max="7180" width="6" style="60" bestFit="1" customWidth="1"/>
    <col min="7181" max="7181" width="5.625" style="60"/>
    <col min="7182" max="7182" width="5.75" style="60" bestFit="1" customWidth="1"/>
    <col min="7183" max="7187" width="5.625" style="60"/>
    <col min="7188" max="7188" width="7.625" style="60" bestFit="1" customWidth="1"/>
    <col min="7189" max="7427" width="5.625" style="60"/>
    <col min="7428" max="7428" width="8.625" style="60" bestFit="1" customWidth="1"/>
    <col min="7429" max="7429" width="7.625" style="60" bestFit="1" customWidth="1"/>
    <col min="7430" max="7432" width="8.625" style="60" bestFit="1" customWidth="1"/>
    <col min="7433" max="7433" width="5.625" style="60"/>
    <col min="7434" max="7434" width="6.75" style="60" bestFit="1" customWidth="1"/>
    <col min="7435" max="7435" width="5.625" style="60"/>
    <col min="7436" max="7436" width="6" style="60" bestFit="1" customWidth="1"/>
    <col min="7437" max="7437" width="5.625" style="60"/>
    <col min="7438" max="7438" width="5.75" style="60" bestFit="1" customWidth="1"/>
    <col min="7439" max="7443" width="5.625" style="60"/>
    <col min="7444" max="7444" width="7.625" style="60" bestFit="1" customWidth="1"/>
    <col min="7445" max="7683" width="5.625" style="60"/>
    <col min="7684" max="7684" width="8.625" style="60" bestFit="1" customWidth="1"/>
    <col min="7685" max="7685" width="7.625" style="60" bestFit="1" customWidth="1"/>
    <col min="7686" max="7688" width="8.625" style="60" bestFit="1" customWidth="1"/>
    <col min="7689" max="7689" width="5.625" style="60"/>
    <col min="7690" max="7690" width="6.75" style="60" bestFit="1" customWidth="1"/>
    <col min="7691" max="7691" width="5.625" style="60"/>
    <col min="7692" max="7692" width="6" style="60" bestFit="1" customWidth="1"/>
    <col min="7693" max="7693" width="5.625" style="60"/>
    <col min="7694" max="7694" width="5.75" style="60" bestFit="1" customWidth="1"/>
    <col min="7695" max="7699" width="5.625" style="60"/>
    <col min="7700" max="7700" width="7.625" style="60" bestFit="1" customWidth="1"/>
    <col min="7701" max="7939" width="5.625" style="60"/>
    <col min="7940" max="7940" width="8.625" style="60" bestFit="1" customWidth="1"/>
    <col min="7941" max="7941" width="7.625" style="60" bestFit="1" customWidth="1"/>
    <col min="7942" max="7944" width="8.625" style="60" bestFit="1" customWidth="1"/>
    <col min="7945" max="7945" width="5.625" style="60"/>
    <col min="7946" max="7946" width="6.75" style="60" bestFit="1" customWidth="1"/>
    <col min="7947" max="7947" width="5.625" style="60"/>
    <col min="7948" max="7948" width="6" style="60" bestFit="1" customWidth="1"/>
    <col min="7949" max="7949" width="5.625" style="60"/>
    <col min="7950" max="7950" width="5.75" style="60" bestFit="1" customWidth="1"/>
    <col min="7951" max="7955" width="5.625" style="60"/>
    <col min="7956" max="7956" width="7.625" style="60" bestFit="1" customWidth="1"/>
    <col min="7957" max="8195" width="5.625" style="60"/>
    <col min="8196" max="8196" width="8.625" style="60" bestFit="1" customWidth="1"/>
    <col min="8197" max="8197" width="7.625" style="60" bestFit="1" customWidth="1"/>
    <col min="8198" max="8200" width="8.625" style="60" bestFit="1" customWidth="1"/>
    <col min="8201" max="8201" width="5.625" style="60"/>
    <col min="8202" max="8202" width="6.75" style="60" bestFit="1" customWidth="1"/>
    <col min="8203" max="8203" width="5.625" style="60"/>
    <col min="8204" max="8204" width="6" style="60" bestFit="1" customWidth="1"/>
    <col min="8205" max="8205" width="5.625" style="60"/>
    <col min="8206" max="8206" width="5.75" style="60" bestFit="1" customWidth="1"/>
    <col min="8207" max="8211" width="5.625" style="60"/>
    <col min="8212" max="8212" width="7.625" style="60" bestFit="1" customWidth="1"/>
    <col min="8213" max="8451" width="5.625" style="60"/>
    <col min="8452" max="8452" width="8.625" style="60" bestFit="1" customWidth="1"/>
    <col min="8453" max="8453" width="7.625" style="60" bestFit="1" customWidth="1"/>
    <col min="8454" max="8456" width="8.625" style="60" bestFit="1" customWidth="1"/>
    <col min="8457" max="8457" width="5.625" style="60"/>
    <col min="8458" max="8458" width="6.75" style="60" bestFit="1" customWidth="1"/>
    <col min="8459" max="8459" width="5.625" style="60"/>
    <col min="8460" max="8460" width="6" style="60" bestFit="1" customWidth="1"/>
    <col min="8461" max="8461" width="5.625" style="60"/>
    <col min="8462" max="8462" width="5.75" style="60" bestFit="1" customWidth="1"/>
    <col min="8463" max="8467" width="5.625" style="60"/>
    <col min="8468" max="8468" width="7.625" style="60" bestFit="1" customWidth="1"/>
    <col min="8469" max="8707" width="5.625" style="60"/>
    <col min="8708" max="8708" width="8.625" style="60" bestFit="1" customWidth="1"/>
    <col min="8709" max="8709" width="7.625" style="60" bestFit="1" customWidth="1"/>
    <col min="8710" max="8712" width="8.625" style="60" bestFit="1" customWidth="1"/>
    <col min="8713" max="8713" width="5.625" style="60"/>
    <col min="8714" max="8714" width="6.75" style="60" bestFit="1" customWidth="1"/>
    <col min="8715" max="8715" width="5.625" style="60"/>
    <col min="8716" max="8716" width="6" style="60" bestFit="1" customWidth="1"/>
    <col min="8717" max="8717" width="5.625" style="60"/>
    <col min="8718" max="8718" width="5.75" style="60" bestFit="1" customWidth="1"/>
    <col min="8719" max="8723" width="5.625" style="60"/>
    <col min="8724" max="8724" width="7.625" style="60" bestFit="1" customWidth="1"/>
    <col min="8725" max="8963" width="5.625" style="60"/>
    <col min="8964" max="8964" width="8.625" style="60" bestFit="1" customWidth="1"/>
    <col min="8965" max="8965" width="7.625" style="60" bestFit="1" customWidth="1"/>
    <col min="8966" max="8968" width="8.625" style="60" bestFit="1" customWidth="1"/>
    <col min="8969" max="8969" width="5.625" style="60"/>
    <col min="8970" max="8970" width="6.75" style="60" bestFit="1" customWidth="1"/>
    <col min="8971" max="8971" width="5.625" style="60"/>
    <col min="8972" max="8972" width="6" style="60" bestFit="1" customWidth="1"/>
    <col min="8973" max="8973" width="5.625" style="60"/>
    <col min="8974" max="8974" width="5.75" style="60" bestFit="1" customWidth="1"/>
    <col min="8975" max="8979" width="5.625" style="60"/>
    <col min="8980" max="8980" width="7.625" style="60" bestFit="1" customWidth="1"/>
    <col min="8981" max="9219" width="5.625" style="60"/>
    <col min="9220" max="9220" width="8.625" style="60" bestFit="1" customWidth="1"/>
    <col min="9221" max="9221" width="7.625" style="60" bestFit="1" customWidth="1"/>
    <col min="9222" max="9224" width="8.625" style="60" bestFit="1" customWidth="1"/>
    <col min="9225" max="9225" width="5.625" style="60"/>
    <col min="9226" max="9226" width="6.75" style="60" bestFit="1" customWidth="1"/>
    <col min="9227" max="9227" width="5.625" style="60"/>
    <col min="9228" max="9228" width="6" style="60" bestFit="1" customWidth="1"/>
    <col min="9229" max="9229" width="5.625" style="60"/>
    <col min="9230" max="9230" width="5.75" style="60" bestFit="1" customWidth="1"/>
    <col min="9231" max="9235" width="5.625" style="60"/>
    <col min="9236" max="9236" width="7.625" style="60" bestFit="1" customWidth="1"/>
    <col min="9237" max="9475" width="5.625" style="60"/>
    <col min="9476" max="9476" width="8.625" style="60" bestFit="1" customWidth="1"/>
    <col min="9477" max="9477" width="7.625" style="60" bestFit="1" customWidth="1"/>
    <col min="9478" max="9480" width="8.625" style="60" bestFit="1" customWidth="1"/>
    <col min="9481" max="9481" width="5.625" style="60"/>
    <col min="9482" max="9482" width="6.75" style="60" bestFit="1" customWidth="1"/>
    <col min="9483" max="9483" width="5.625" style="60"/>
    <col min="9484" max="9484" width="6" style="60" bestFit="1" customWidth="1"/>
    <col min="9485" max="9485" width="5.625" style="60"/>
    <col min="9486" max="9486" width="5.75" style="60" bestFit="1" customWidth="1"/>
    <col min="9487" max="9491" width="5.625" style="60"/>
    <col min="9492" max="9492" width="7.625" style="60" bestFit="1" customWidth="1"/>
    <col min="9493" max="9731" width="5.625" style="60"/>
    <col min="9732" max="9732" width="8.625" style="60" bestFit="1" customWidth="1"/>
    <col min="9733" max="9733" width="7.625" style="60" bestFit="1" customWidth="1"/>
    <col min="9734" max="9736" width="8.625" style="60" bestFit="1" customWidth="1"/>
    <col min="9737" max="9737" width="5.625" style="60"/>
    <col min="9738" max="9738" width="6.75" style="60" bestFit="1" customWidth="1"/>
    <col min="9739" max="9739" width="5.625" style="60"/>
    <col min="9740" max="9740" width="6" style="60" bestFit="1" customWidth="1"/>
    <col min="9741" max="9741" width="5.625" style="60"/>
    <col min="9742" max="9742" width="5.75" style="60" bestFit="1" customWidth="1"/>
    <col min="9743" max="9747" width="5.625" style="60"/>
    <col min="9748" max="9748" width="7.625" style="60" bestFit="1" customWidth="1"/>
    <col min="9749" max="9987" width="5.625" style="60"/>
    <col min="9988" max="9988" width="8.625" style="60" bestFit="1" customWidth="1"/>
    <col min="9989" max="9989" width="7.625" style="60" bestFit="1" customWidth="1"/>
    <col min="9990" max="9992" width="8.625" style="60" bestFit="1" customWidth="1"/>
    <col min="9993" max="9993" width="5.625" style="60"/>
    <col min="9994" max="9994" width="6.75" style="60" bestFit="1" customWidth="1"/>
    <col min="9995" max="9995" width="5.625" style="60"/>
    <col min="9996" max="9996" width="6" style="60" bestFit="1" customWidth="1"/>
    <col min="9997" max="9997" width="5.625" style="60"/>
    <col min="9998" max="9998" width="5.75" style="60" bestFit="1" customWidth="1"/>
    <col min="9999" max="10003" width="5.625" style="60"/>
    <col min="10004" max="10004" width="7.625" style="60" bestFit="1" customWidth="1"/>
    <col min="10005" max="10243" width="5.625" style="60"/>
    <col min="10244" max="10244" width="8.625" style="60" bestFit="1" customWidth="1"/>
    <col min="10245" max="10245" width="7.625" style="60" bestFit="1" customWidth="1"/>
    <col min="10246" max="10248" width="8.625" style="60" bestFit="1" customWidth="1"/>
    <col min="10249" max="10249" width="5.625" style="60"/>
    <col min="10250" max="10250" width="6.75" style="60" bestFit="1" customWidth="1"/>
    <col min="10251" max="10251" width="5.625" style="60"/>
    <col min="10252" max="10252" width="6" style="60" bestFit="1" customWidth="1"/>
    <col min="10253" max="10253" width="5.625" style="60"/>
    <col min="10254" max="10254" width="5.75" style="60" bestFit="1" customWidth="1"/>
    <col min="10255" max="10259" width="5.625" style="60"/>
    <col min="10260" max="10260" width="7.625" style="60" bestFit="1" customWidth="1"/>
    <col min="10261" max="10499" width="5.625" style="60"/>
    <col min="10500" max="10500" width="8.625" style="60" bestFit="1" customWidth="1"/>
    <col min="10501" max="10501" width="7.625" style="60" bestFit="1" customWidth="1"/>
    <col min="10502" max="10504" width="8.625" style="60" bestFit="1" customWidth="1"/>
    <col min="10505" max="10505" width="5.625" style="60"/>
    <col min="10506" max="10506" width="6.75" style="60" bestFit="1" customWidth="1"/>
    <col min="10507" max="10507" width="5.625" style="60"/>
    <col min="10508" max="10508" width="6" style="60" bestFit="1" customWidth="1"/>
    <col min="10509" max="10509" width="5.625" style="60"/>
    <col min="10510" max="10510" width="5.75" style="60" bestFit="1" customWidth="1"/>
    <col min="10511" max="10515" width="5.625" style="60"/>
    <col min="10516" max="10516" width="7.625" style="60" bestFit="1" customWidth="1"/>
    <col min="10517" max="10755" width="5.625" style="60"/>
    <col min="10756" max="10756" width="8.625" style="60" bestFit="1" customWidth="1"/>
    <col min="10757" max="10757" width="7.625" style="60" bestFit="1" customWidth="1"/>
    <col min="10758" max="10760" width="8.625" style="60" bestFit="1" customWidth="1"/>
    <col min="10761" max="10761" width="5.625" style="60"/>
    <col min="10762" max="10762" width="6.75" style="60" bestFit="1" customWidth="1"/>
    <col min="10763" max="10763" width="5.625" style="60"/>
    <col min="10764" max="10764" width="6" style="60" bestFit="1" customWidth="1"/>
    <col min="10765" max="10765" width="5.625" style="60"/>
    <col min="10766" max="10766" width="5.75" style="60" bestFit="1" customWidth="1"/>
    <col min="10767" max="10771" width="5.625" style="60"/>
    <col min="10772" max="10772" width="7.625" style="60" bestFit="1" customWidth="1"/>
    <col min="10773" max="11011" width="5.625" style="60"/>
    <col min="11012" max="11012" width="8.625" style="60" bestFit="1" customWidth="1"/>
    <col min="11013" max="11013" width="7.625" style="60" bestFit="1" customWidth="1"/>
    <col min="11014" max="11016" width="8.625" style="60" bestFit="1" customWidth="1"/>
    <col min="11017" max="11017" width="5.625" style="60"/>
    <col min="11018" max="11018" width="6.75" style="60" bestFit="1" customWidth="1"/>
    <col min="11019" max="11019" width="5.625" style="60"/>
    <col min="11020" max="11020" width="6" style="60" bestFit="1" customWidth="1"/>
    <col min="11021" max="11021" width="5.625" style="60"/>
    <col min="11022" max="11022" width="5.75" style="60" bestFit="1" customWidth="1"/>
    <col min="11023" max="11027" width="5.625" style="60"/>
    <col min="11028" max="11028" width="7.625" style="60" bestFit="1" customWidth="1"/>
    <col min="11029" max="11267" width="5.625" style="60"/>
    <col min="11268" max="11268" width="8.625" style="60" bestFit="1" customWidth="1"/>
    <col min="11269" max="11269" width="7.625" style="60" bestFit="1" customWidth="1"/>
    <col min="11270" max="11272" width="8.625" style="60" bestFit="1" customWidth="1"/>
    <col min="11273" max="11273" width="5.625" style="60"/>
    <col min="11274" max="11274" width="6.75" style="60" bestFit="1" customWidth="1"/>
    <col min="11275" max="11275" width="5.625" style="60"/>
    <col min="11276" max="11276" width="6" style="60" bestFit="1" customWidth="1"/>
    <col min="11277" max="11277" width="5.625" style="60"/>
    <col min="11278" max="11278" width="5.75" style="60" bestFit="1" customWidth="1"/>
    <col min="11279" max="11283" width="5.625" style="60"/>
    <col min="11284" max="11284" width="7.625" style="60" bestFit="1" customWidth="1"/>
    <col min="11285" max="11523" width="5.625" style="60"/>
    <col min="11524" max="11524" width="8.625" style="60" bestFit="1" customWidth="1"/>
    <col min="11525" max="11525" width="7.625" style="60" bestFit="1" customWidth="1"/>
    <col min="11526" max="11528" width="8.625" style="60" bestFit="1" customWidth="1"/>
    <col min="11529" max="11529" width="5.625" style="60"/>
    <col min="11530" max="11530" width="6.75" style="60" bestFit="1" customWidth="1"/>
    <col min="11531" max="11531" width="5.625" style="60"/>
    <col min="11532" max="11532" width="6" style="60" bestFit="1" customWidth="1"/>
    <col min="11533" max="11533" width="5.625" style="60"/>
    <col min="11534" max="11534" width="5.75" style="60" bestFit="1" customWidth="1"/>
    <col min="11535" max="11539" width="5.625" style="60"/>
    <col min="11540" max="11540" width="7.625" style="60" bestFit="1" customWidth="1"/>
    <col min="11541" max="11779" width="5.625" style="60"/>
    <col min="11780" max="11780" width="8.625" style="60" bestFit="1" customWidth="1"/>
    <col min="11781" max="11781" width="7.625" style="60" bestFit="1" customWidth="1"/>
    <col min="11782" max="11784" width="8.625" style="60" bestFit="1" customWidth="1"/>
    <col min="11785" max="11785" width="5.625" style="60"/>
    <col min="11786" max="11786" width="6.75" style="60" bestFit="1" customWidth="1"/>
    <col min="11787" max="11787" width="5.625" style="60"/>
    <col min="11788" max="11788" width="6" style="60" bestFit="1" customWidth="1"/>
    <col min="11789" max="11789" width="5.625" style="60"/>
    <col min="11790" max="11790" width="5.75" style="60" bestFit="1" customWidth="1"/>
    <col min="11791" max="11795" width="5.625" style="60"/>
    <col min="11796" max="11796" width="7.625" style="60" bestFit="1" customWidth="1"/>
    <col min="11797" max="12035" width="5.625" style="60"/>
    <col min="12036" max="12036" width="8.625" style="60" bestFit="1" customWidth="1"/>
    <col min="12037" max="12037" width="7.625" style="60" bestFit="1" customWidth="1"/>
    <col min="12038" max="12040" width="8.625" style="60" bestFit="1" customWidth="1"/>
    <col min="12041" max="12041" width="5.625" style="60"/>
    <col min="12042" max="12042" width="6.75" style="60" bestFit="1" customWidth="1"/>
    <col min="12043" max="12043" width="5.625" style="60"/>
    <col min="12044" max="12044" width="6" style="60" bestFit="1" customWidth="1"/>
    <col min="12045" max="12045" width="5.625" style="60"/>
    <col min="12046" max="12046" width="5.75" style="60" bestFit="1" customWidth="1"/>
    <col min="12047" max="12051" width="5.625" style="60"/>
    <col min="12052" max="12052" width="7.625" style="60" bestFit="1" customWidth="1"/>
    <col min="12053" max="12291" width="5.625" style="60"/>
    <col min="12292" max="12292" width="8.625" style="60" bestFit="1" customWidth="1"/>
    <col min="12293" max="12293" width="7.625" style="60" bestFit="1" customWidth="1"/>
    <col min="12294" max="12296" width="8.625" style="60" bestFit="1" customWidth="1"/>
    <col min="12297" max="12297" width="5.625" style="60"/>
    <col min="12298" max="12298" width="6.75" style="60" bestFit="1" customWidth="1"/>
    <col min="12299" max="12299" width="5.625" style="60"/>
    <col min="12300" max="12300" width="6" style="60" bestFit="1" customWidth="1"/>
    <col min="12301" max="12301" width="5.625" style="60"/>
    <col min="12302" max="12302" width="5.75" style="60" bestFit="1" customWidth="1"/>
    <col min="12303" max="12307" width="5.625" style="60"/>
    <col min="12308" max="12308" width="7.625" style="60" bestFit="1" customWidth="1"/>
    <col min="12309" max="12547" width="5.625" style="60"/>
    <col min="12548" max="12548" width="8.625" style="60" bestFit="1" customWidth="1"/>
    <col min="12549" max="12549" width="7.625" style="60" bestFit="1" customWidth="1"/>
    <col min="12550" max="12552" width="8.625" style="60" bestFit="1" customWidth="1"/>
    <col min="12553" max="12553" width="5.625" style="60"/>
    <col min="12554" max="12554" width="6.75" style="60" bestFit="1" customWidth="1"/>
    <col min="12555" max="12555" width="5.625" style="60"/>
    <col min="12556" max="12556" width="6" style="60" bestFit="1" customWidth="1"/>
    <col min="12557" max="12557" width="5.625" style="60"/>
    <col min="12558" max="12558" width="5.75" style="60" bestFit="1" customWidth="1"/>
    <col min="12559" max="12563" width="5.625" style="60"/>
    <col min="12564" max="12564" width="7.625" style="60" bestFit="1" customWidth="1"/>
    <col min="12565" max="12803" width="5.625" style="60"/>
    <col min="12804" max="12804" width="8.625" style="60" bestFit="1" customWidth="1"/>
    <col min="12805" max="12805" width="7.625" style="60" bestFit="1" customWidth="1"/>
    <col min="12806" max="12808" width="8.625" style="60" bestFit="1" customWidth="1"/>
    <col min="12809" max="12809" width="5.625" style="60"/>
    <col min="12810" max="12810" width="6.75" style="60" bestFit="1" customWidth="1"/>
    <col min="12811" max="12811" width="5.625" style="60"/>
    <col min="12812" max="12812" width="6" style="60" bestFit="1" customWidth="1"/>
    <col min="12813" max="12813" width="5.625" style="60"/>
    <col min="12814" max="12814" width="5.75" style="60" bestFit="1" customWidth="1"/>
    <col min="12815" max="12819" width="5.625" style="60"/>
    <col min="12820" max="12820" width="7.625" style="60" bestFit="1" customWidth="1"/>
    <col min="12821" max="13059" width="5.625" style="60"/>
    <col min="13060" max="13060" width="8.625" style="60" bestFit="1" customWidth="1"/>
    <col min="13061" max="13061" width="7.625" style="60" bestFit="1" customWidth="1"/>
    <col min="13062" max="13064" width="8.625" style="60" bestFit="1" customWidth="1"/>
    <col min="13065" max="13065" width="5.625" style="60"/>
    <col min="13066" max="13066" width="6.75" style="60" bestFit="1" customWidth="1"/>
    <col min="13067" max="13067" width="5.625" style="60"/>
    <col min="13068" max="13068" width="6" style="60" bestFit="1" customWidth="1"/>
    <col min="13069" max="13069" width="5.625" style="60"/>
    <col min="13070" max="13070" width="5.75" style="60" bestFit="1" customWidth="1"/>
    <col min="13071" max="13075" width="5.625" style="60"/>
    <col min="13076" max="13076" width="7.625" style="60" bestFit="1" customWidth="1"/>
    <col min="13077" max="13315" width="5.625" style="60"/>
    <col min="13316" max="13316" width="8.625" style="60" bestFit="1" customWidth="1"/>
    <col min="13317" max="13317" width="7.625" style="60" bestFit="1" customWidth="1"/>
    <col min="13318" max="13320" width="8.625" style="60" bestFit="1" customWidth="1"/>
    <col min="13321" max="13321" width="5.625" style="60"/>
    <col min="13322" max="13322" width="6.75" style="60" bestFit="1" customWidth="1"/>
    <col min="13323" max="13323" width="5.625" style="60"/>
    <col min="13324" max="13324" width="6" style="60" bestFit="1" customWidth="1"/>
    <col min="13325" max="13325" width="5.625" style="60"/>
    <col min="13326" max="13326" width="5.75" style="60" bestFit="1" customWidth="1"/>
    <col min="13327" max="13331" width="5.625" style="60"/>
    <col min="13332" max="13332" width="7.625" style="60" bestFit="1" customWidth="1"/>
    <col min="13333" max="13571" width="5.625" style="60"/>
    <col min="13572" max="13572" width="8.625" style="60" bestFit="1" customWidth="1"/>
    <col min="13573" max="13573" width="7.625" style="60" bestFit="1" customWidth="1"/>
    <col min="13574" max="13576" width="8.625" style="60" bestFit="1" customWidth="1"/>
    <col min="13577" max="13577" width="5.625" style="60"/>
    <col min="13578" max="13578" width="6.75" style="60" bestFit="1" customWidth="1"/>
    <col min="13579" max="13579" width="5.625" style="60"/>
    <col min="13580" max="13580" width="6" style="60" bestFit="1" customWidth="1"/>
    <col min="13581" max="13581" width="5.625" style="60"/>
    <col min="13582" max="13582" width="5.75" style="60" bestFit="1" customWidth="1"/>
    <col min="13583" max="13587" width="5.625" style="60"/>
    <col min="13588" max="13588" width="7.625" style="60" bestFit="1" customWidth="1"/>
    <col min="13589" max="13827" width="5.625" style="60"/>
    <col min="13828" max="13828" width="8.625" style="60" bestFit="1" customWidth="1"/>
    <col min="13829" max="13829" width="7.625" style="60" bestFit="1" customWidth="1"/>
    <col min="13830" max="13832" width="8.625" style="60" bestFit="1" customWidth="1"/>
    <col min="13833" max="13833" width="5.625" style="60"/>
    <col min="13834" max="13834" width="6.75" style="60" bestFit="1" customWidth="1"/>
    <col min="13835" max="13835" width="5.625" style="60"/>
    <col min="13836" max="13836" width="6" style="60" bestFit="1" customWidth="1"/>
    <col min="13837" max="13837" width="5.625" style="60"/>
    <col min="13838" max="13838" width="5.75" style="60" bestFit="1" customWidth="1"/>
    <col min="13839" max="13843" width="5.625" style="60"/>
    <col min="13844" max="13844" width="7.625" style="60" bestFit="1" customWidth="1"/>
    <col min="13845" max="14083" width="5.625" style="60"/>
    <col min="14084" max="14084" width="8.625" style="60" bestFit="1" customWidth="1"/>
    <col min="14085" max="14085" width="7.625" style="60" bestFit="1" customWidth="1"/>
    <col min="14086" max="14088" width="8.625" style="60" bestFit="1" customWidth="1"/>
    <col min="14089" max="14089" width="5.625" style="60"/>
    <col min="14090" max="14090" width="6.75" style="60" bestFit="1" customWidth="1"/>
    <col min="14091" max="14091" width="5.625" style="60"/>
    <col min="14092" max="14092" width="6" style="60" bestFit="1" customWidth="1"/>
    <col min="14093" max="14093" width="5.625" style="60"/>
    <col min="14094" max="14094" width="5.75" style="60" bestFit="1" customWidth="1"/>
    <col min="14095" max="14099" width="5.625" style="60"/>
    <col min="14100" max="14100" width="7.625" style="60" bestFit="1" customWidth="1"/>
    <col min="14101" max="14339" width="5.625" style="60"/>
    <col min="14340" max="14340" width="8.625" style="60" bestFit="1" customWidth="1"/>
    <col min="14341" max="14341" width="7.625" style="60" bestFit="1" customWidth="1"/>
    <col min="14342" max="14344" width="8.625" style="60" bestFit="1" customWidth="1"/>
    <col min="14345" max="14345" width="5.625" style="60"/>
    <col min="14346" max="14346" width="6.75" style="60" bestFit="1" customWidth="1"/>
    <col min="14347" max="14347" width="5.625" style="60"/>
    <col min="14348" max="14348" width="6" style="60" bestFit="1" customWidth="1"/>
    <col min="14349" max="14349" width="5.625" style="60"/>
    <col min="14350" max="14350" width="5.75" style="60" bestFit="1" customWidth="1"/>
    <col min="14351" max="14355" width="5.625" style="60"/>
    <col min="14356" max="14356" width="7.625" style="60" bestFit="1" customWidth="1"/>
    <col min="14357" max="14595" width="5.625" style="60"/>
    <col min="14596" max="14596" width="8.625" style="60" bestFit="1" customWidth="1"/>
    <col min="14597" max="14597" width="7.625" style="60" bestFit="1" customWidth="1"/>
    <col min="14598" max="14600" width="8.625" style="60" bestFit="1" customWidth="1"/>
    <col min="14601" max="14601" width="5.625" style="60"/>
    <col min="14602" max="14602" width="6.75" style="60" bestFit="1" customWidth="1"/>
    <col min="14603" max="14603" width="5.625" style="60"/>
    <col min="14604" max="14604" width="6" style="60" bestFit="1" customWidth="1"/>
    <col min="14605" max="14605" width="5.625" style="60"/>
    <col min="14606" max="14606" width="5.75" style="60" bestFit="1" customWidth="1"/>
    <col min="14607" max="14611" width="5.625" style="60"/>
    <col min="14612" max="14612" width="7.625" style="60" bestFit="1" customWidth="1"/>
    <col min="14613" max="14851" width="5.625" style="60"/>
    <col min="14852" max="14852" width="8.625" style="60" bestFit="1" customWidth="1"/>
    <col min="14853" max="14853" width="7.625" style="60" bestFit="1" customWidth="1"/>
    <col min="14854" max="14856" width="8.625" style="60" bestFit="1" customWidth="1"/>
    <col min="14857" max="14857" width="5.625" style="60"/>
    <col min="14858" max="14858" width="6.75" style="60" bestFit="1" customWidth="1"/>
    <col min="14859" max="14859" width="5.625" style="60"/>
    <col min="14860" max="14860" width="6" style="60" bestFit="1" customWidth="1"/>
    <col min="14861" max="14861" width="5.625" style="60"/>
    <col min="14862" max="14862" width="5.75" style="60" bestFit="1" customWidth="1"/>
    <col min="14863" max="14867" width="5.625" style="60"/>
    <col min="14868" max="14868" width="7.625" style="60" bestFit="1" customWidth="1"/>
    <col min="14869" max="15107" width="5.625" style="60"/>
    <col min="15108" max="15108" width="8.625" style="60" bestFit="1" customWidth="1"/>
    <col min="15109" max="15109" width="7.625" style="60" bestFit="1" customWidth="1"/>
    <col min="15110" max="15112" width="8.625" style="60" bestFit="1" customWidth="1"/>
    <col min="15113" max="15113" width="5.625" style="60"/>
    <col min="15114" max="15114" width="6.75" style="60" bestFit="1" customWidth="1"/>
    <col min="15115" max="15115" width="5.625" style="60"/>
    <col min="15116" max="15116" width="6" style="60" bestFit="1" customWidth="1"/>
    <col min="15117" max="15117" width="5.625" style="60"/>
    <col min="15118" max="15118" width="5.75" style="60" bestFit="1" customWidth="1"/>
    <col min="15119" max="15123" width="5.625" style="60"/>
    <col min="15124" max="15124" width="7.625" style="60" bestFit="1" customWidth="1"/>
    <col min="15125" max="15363" width="5.625" style="60"/>
    <col min="15364" max="15364" width="8.625" style="60" bestFit="1" customWidth="1"/>
    <col min="15365" max="15365" width="7.625" style="60" bestFit="1" customWidth="1"/>
    <col min="15366" max="15368" width="8.625" style="60" bestFit="1" customWidth="1"/>
    <col min="15369" max="15369" width="5.625" style="60"/>
    <col min="15370" max="15370" width="6.75" style="60" bestFit="1" customWidth="1"/>
    <col min="15371" max="15371" width="5.625" style="60"/>
    <col min="15372" max="15372" width="6" style="60" bestFit="1" customWidth="1"/>
    <col min="15373" max="15373" width="5.625" style="60"/>
    <col min="15374" max="15374" width="5.75" style="60" bestFit="1" customWidth="1"/>
    <col min="15375" max="15379" width="5.625" style="60"/>
    <col min="15380" max="15380" width="7.625" style="60" bestFit="1" customWidth="1"/>
    <col min="15381" max="15619" width="5.625" style="60"/>
    <col min="15620" max="15620" width="8.625" style="60" bestFit="1" customWidth="1"/>
    <col min="15621" max="15621" width="7.625" style="60" bestFit="1" customWidth="1"/>
    <col min="15622" max="15624" width="8.625" style="60" bestFit="1" customWidth="1"/>
    <col min="15625" max="15625" width="5.625" style="60"/>
    <col min="15626" max="15626" width="6.75" style="60" bestFit="1" customWidth="1"/>
    <col min="15627" max="15627" width="5.625" style="60"/>
    <col min="15628" max="15628" width="6" style="60" bestFit="1" customWidth="1"/>
    <col min="15629" max="15629" width="5.625" style="60"/>
    <col min="15630" max="15630" width="5.75" style="60" bestFit="1" customWidth="1"/>
    <col min="15631" max="15635" width="5.625" style="60"/>
    <col min="15636" max="15636" width="7.625" style="60" bestFit="1" customWidth="1"/>
    <col min="15637" max="15875" width="5.625" style="60"/>
    <col min="15876" max="15876" width="8.625" style="60" bestFit="1" customWidth="1"/>
    <col min="15877" max="15877" width="7.625" style="60" bestFit="1" customWidth="1"/>
    <col min="15878" max="15880" width="8.625" style="60" bestFit="1" customWidth="1"/>
    <col min="15881" max="15881" width="5.625" style="60"/>
    <col min="15882" max="15882" width="6.75" style="60" bestFit="1" customWidth="1"/>
    <col min="15883" max="15883" width="5.625" style="60"/>
    <col min="15884" max="15884" width="6" style="60" bestFit="1" customWidth="1"/>
    <col min="15885" max="15885" width="5.625" style="60"/>
    <col min="15886" max="15886" width="5.75" style="60" bestFit="1" customWidth="1"/>
    <col min="15887" max="15891" width="5.625" style="60"/>
    <col min="15892" max="15892" width="7.625" style="60" bestFit="1" customWidth="1"/>
    <col min="15893" max="16131" width="5.625" style="60"/>
    <col min="16132" max="16132" width="8.625" style="60" bestFit="1" customWidth="1"/>
    <col min="16133" max="16133" width="7.625" style="60" bestFit="1" customWidth="1"/>
    <col min="16134" max="16136" width="8.625" style="60" bestFit="1" customWidth="1"/>
    <col min="16137" max="16137" width="5.625" style="60"/>
    <col min="16138" max="16138" width="6.75" style="60" bestFit="1" customWidth="1"/>
    <col min="16139" max="16139" width="5.625" style="60"/>
    <col min="16140" max="16140" width="6" style="60" bestFit="1" customWidth="1"/>
    <col min="16141" max="16141" width="5.625" style="60"/>
    <col min="16142" max="16142" width="5.75" style="60" bestFit="1" customWidth="1"/>
    <col min="16143" max="16147" width="5.625" style="60"/>
    <col min="16148" max="16148" width="7.625" style="60" bestFit="1" customWidth="1"/>
    <col min="16149" max="16384" width="5.625" style="60"/>
  </cols>
  <sheetData>
    <row r="1" spans="1:16" ht="14.25" customHeight="1">
      <c r="A1" s="1" t="s">
        <v>185</v>
      </c>
    </row>
    <row r="2" spans="1:16" ht="14.25" customHeight="1"/>
    <row r="3" spans="1:16" ht="14.25" customHeight="1">
      <c r="B3" s="61" t="s">
        <v>186</v>
      </c>
    </row>
    <row r="4" spans="1:16" ht="14.25" customHeight="1"/>
    <row r="5" spans="1:16" ht="14.25" customHeight="1">
      <c r="C5" s="62" t="s">
        <v>187</v>
      </c>
      <c r="D5" s="60" t="s">
        <v>188</v>
      </c>
    </row>
    <row r="6" spans="1:16" ht="14.25" customHeight="1">
      <c r="C6" s="62"/>
    </row>
    <row r="7" spans="1:16" ht="14.25" customHeight="1">
      <c r="C7" s="62" t="s">
        <v>189</v>
      </c>
      <c r="D7" s="60" t="s">
        <v>190</v>
      </c>
      <c r="I7" s="60" t="s">
        <v>191</v>
      </c>
    </row>
    <row r="8" spans="1:16" ht="14.25" customHeight="1">
      <c r="C8" s="62"/>
    </row>
    <row r="9" spans="1:16" ht="14.25" customHeight="1"/>
    <row r="10" spans="1:16" ht="14.25" customHeight="1">
      <c r="D10" s="62" t="s">
        <v>192</v>
      </c>
      <c r="E10" s="60" t="s">
        <v>193</v>
      </c>
    </row>
    <row r="11" spans="1:16" ht="14.25" customHeight="1">
      <c r="D11" s="62" t="s">
        <v>194</v>
      </c>
      <c r="E11" s="60" t="s">
        <v>195</v>
      </c>
    </row>
    <row r="12" spans="1:16" ht="14.25" customHeight="1"/>
    <row r="13" spans="1:16" ht="14.25" customHeight="1">
      <c r="C13" s="63"/>
      <c r="D13" s="338" t="s">
        <v>195</v>
      </c>
      <c r="E13" s="338"/>
      <c r="F13" s="338" t="s">
        <v>196</v>
      </c>
      <c r="G13" s="338"/>
      <c r="H13" s="338" t="s">
        <v>197</v>
      </c>
      <c r="I13" s="338"/>
      <c r="J13" s="338" t="s">
        <v>198</v>
      </c>
      <c r="K13" s="338"/>
    </row>
    <row r="14" spans="1:16" ht="14.25" customHeight="1">
      <c r="C14" s="64" t="s">
        <v>199</v>
      </c>
      <c r="D14" s="339">
        <f>ROUND('[1]基本 (2)'!L10,1)</f>
        <v>11</v>
      </c>
      <c r="E14" s="339"/>
      <c r="F14" s="339">
        <f>'[1]基本 (2)'!D53</f>
        <v>8</v>
      </c>
      <c r="G14" s="339"/>
      <c r="H14" s="339" t="s">
        <v>200</v>
      </c>
      <c r="I14" s="339"/>
      <c r="J14" s="354">
        <f>IF(F14&lt;&gt;"",IF(H14="①",ROUND((D14+2)*3,1),ROUND((D14+2)*3,1)),0)</f>
        <v>39</v>
      </c>
      <c r="K14" s="352"/>
      <c r="L14" s="11"/>
      <c r="M14" s="11"/>
      <c r="N14" s="11"/>
      <c r="O14" s="11"/>
      <c r="P14" s="62"/>
    </row>
    <row r="15" spans="1:16" ht="14.25" customHeight="1">
      <c r="C15" s="64" t="s">
        <v>53</v>
      </c>
      <c r="D15" s="339">
        <f>ROUND('[1]基本 (2)'!L10,1)</f>
        <v>11</v>
      </c>
      <c r="E15" s="339"/>
      <c r="F15" s="339">
        <f>'[1]基本 (2)'!D54</f>
        <v>8</v>
      </c>
      <c r="G15" s="339"/>
      <c r="H15" s="339" t="s">
        <v>201</v>
      </c>
      <c r="I15" s="339"/>
      <c r="J15" s="354">
        <f t="shared" ref="J15:J43" si="0">IF(F15&lt;&gt;"",IF(H15="①",ROUND((D15+2)*3,1),ROUND((D15+2)*3,1)),0)</f>
        <v>39</v>
      </c>
      <c r="K15" s="352"/>
      <c r="L15" s="11"/>
      <c r="M15" s="11"/>
      <c r="N15" s="11"/>
      <c r="O15" s="11"/>
      <c r="P15" s="62"/>
    </row>
    <row r="16" spans="1:16" ht="14.25" customHeight="1">
      <c r="C16" s="64" t="s">
        <v>54</v>
      </c>
      <c r="D16" s="339">
        <f>ROUND('[1]基本 (2)'!L10,1)</f>
        <v>11</v>
      </c>
      <c r="E16" s="339"/>
      <c r="F16" s="339">
        <f>'[1]基本 (2)'!D55</f>
        <v>9</v>
      </c>
      <c r="G16" s="339"/>
      <c r="H16" s="339" t="s">
        <v>200</v>
      </c>
      <c r="I16" s="339"/>
      <c r="J16" s="354">
        <f t="shared" si="0"/>
        <v>39</v>
      </c>
      <c r="K16" s="352"/>
      <c r="L16" s="11"/>
      <c r="M16" s="11"/>
      <c r="N16" s="11"/>
      <c r="O16" s="11"/>
      <c r="P16" s="62"/>
    </row>
    <row r="17" spans="3:16" ht="14.25" customHeight="1">
      <c r="C17" s="64" t="s">
        <v>55</v>
      </c>
      <c r="D17" s="339">
        <f>ROUND('[1]基本 (2)'!L10,1)</f>
        <v>11</v>
      </c>
      <c r="E17" s="339"/>
      <c r="F17" s="339">
        <f>'[1]基本 (2)'!D56</f>
        <v>9</v>
      </c>
      <c r="G17" s="339"/>
      <c r="H17" s="339" t="s">
        <v>201</v>
      </c>
      <c r="I17" s="339"/>
      <c r="J17" s="354">
        <f t="shared" si="0"/>
        <v>39</v>
      </c>
      <c r="K17" s="352"/>
      <c r="L17" s="11"/>
      <c r="M17" s="11"/>
      <c r="N17" s="11"/>
      <c r="O17" s="11"/>
      <c r="P17" s="62"/>
    </row>
    <row r="18" spans="3:16" ht="14.25" customHeight="1">
      <c r="C18" s="64" t="s">
        <v>56</v>
      </c>
      <c r="D18" s="339">
        <f>ROUND('[1]基本 (2)'!L10,1)</f>
        <v>11</v>
      </c>
      <c r="E18" s="339"/>
      <c r="F18" s="339">
        <f>'[1]基本 (2)'!D57</f>
        <v>12</v>
      </c>
      <c r="G18" s="339"/>
      <c r="H18" s="339" t="s">
        <v>200</v>
      </c>
      <c r="I18" s="339"/>
      <c r="J18" s="354">
        <f t="shared" si="0"/>
        <v>39</v>
      </c>
      <c r="K18" s="352"/>
      <c r="L18" s="11"/>
      <c r="M18" s="11"/>
      <c r="N18" s="11"/>
      <c r="O18" s="11"/>
      <c r="P18" s="62"/>
    </row>
    <row r="19" spans="3:16" ht="14.25" hidden="1" customHeight="1">
      <c r="C19" s="64" t="s">
        <v>57</v>
      </c>
      <c r="D19" s="339"/>
      <c r="E19" s="339"/>
      <c r="F19" s="339"/>
      <c r="G19" s="339"/>
      <c r="H19" s="339" t="s">
        <v>202</v>
      </c>
      <c r="I19" s="339"/>
      <c r="J19" s="354">
        <f t="shared" si="0"/>
        <v>0</v>
      </c>
      <c r="K19" s="352"/>
      <c r="L19" s="11"/>
      <c r="M19" s="11"/>
      <c r="N19" s="11"/>
      <c r="O19" s="11"/>
      <c r="P19" s="62"/>
    </row>
    <row r="20" spans="3:16" ht="14.25" hidden="1" customHeight="1">
      <c r="C20" s="64" t="s">
        <v>58</v>
      </c>
      <c r="D20" s="339"/>
      <c r="E20" s="339"/>
      <c r="F20" s="339"/>
      <c r="G20" s="339"/>
      <c r="H20" s="339" t="s">
        <v>202</v>
      </c>
      <c r="I20" s="339"/>
      <c r="J20" s="354">
        <f t="shared" si="0"/>
        <v>0</v>
      </c>
      <c r="K20" s="352"/>
      <c r="L20" s="11"/>
      <c r="M20" s="11"/>
      <c r="N20" s="11"/>
      <c r="O20" s="11"/>
      <c r="P20" s="62"/>
    </row>
    <row r="21" spans="3:16" ht="14.25" hidden="1" customHeight="1">
      <c r="C21" s="64" t="s">
        <v>59</v>
      </c>
      <c r="D21" s="339"/>
      <c r="E21" s="339"/>
      <c r="F21" s="339"/>
      <c r="G21" s="339"/>
      <c r="H21" s="339" t="s">
        <v>200</v>
      </c>
      <c r="I21" s="339"/>
      <c r="J21" s="354">
        <f t="shared" si="0"/>
        <v>0</v>
      </c>
      <c r="K21" s="352"/>
      <c r="L21" s="11"/>
      <c r="M21" s="11"/>
      <c r="N21" s="11"/>
      <c r="O21" s="11"/>
      <c r="P21" s="62"/>
    </row>
    <row r="22" spans="3:16" ht="14.25" hidden="1" customHeight="1">
      <c r="C22" s="64" t="s">
        <v>60</v>
      </c>
      <c r="D22" s="339"/>
      <c r="E22" s="339"/>
      <c r="F22" s="339"/>
      <c r="G22" s="339"/>
      <c r="H22" s="339" t="s">
        <v>200</v>
      </c>
      <c r="I22" s="339"/>
      <c r="J22" s="354">
        <f t="shared" si="0"/>
        <v>0</v>
      </c>
      <c r="K22" s="352"/>
      <c r="L22" s="11"/>
      <c r="M22" s="11"/>
      <c r="N22" s="11"/>
      <c r="O22" s="11"/>
      <c r="P22" s="62"/>
    </row>
    <row r="23" spans="3:16" ht="14.25" hidden="1" customHeight="1">
      <c r="C23" s="64" t="s">
        <v>61</v>
      </c>
      <c r="D23" s="339"/>
      <c r="E23" s="339"/>
      <c r="F23" s="339"/>
      <c r="G23" s="339"/>
      <c r="H23" s="339" t="s">
        <v>200</v>
      </c>
      <c r="I23" s="339"/>
      <c r="J23" s="354">
        <f t="shared" si="0"/>
        <v>0</v>
      </c>
      <c r="K23" s="352"/>
      <c r="L23" s="11"/>
      <c r="M23" s="11"/>
      <c r="N23" s="11"/>
      <c r="O23" s="11"/>
      <c r="P23" s="62"/>
    </row>
    <row r="24" spans="3:16" ht="14.25" hidden="1" customHeight="1">
      <c r="C24" s="64" t="s">
        <v>62</v>
      </c>
      <c r="D24" s="339"/>
      <c r="E24" s="339"/>
      <c r="F24" s="339"/>
      <c r="G24" s="339"/>
      <c r="H24" s="339" t="s">
        <v>200</v>
      </c>
      <c r="I24" s="339"/>
      <c r="J24" s="354">
        <f t="shared" si="0"/>
        <v>0</v>
      </c>
      <c r="K24" s="352"/>
      <c r="L24" s="11"/>
      <c r="M24" s="11"/>
      <c r="N24" s="11"/>
      <c r="O24" s="11"/>
      <c r="P24" s="62"/>
    </row>
    <row r="25" spans="3:16" ht="14.25" hidden="1" customHeight="1">
      <c r="C25" s="64" t="s">
        <v>63</v>
      </c>
      <c r="D25" s="339"/>
      <c r="E25" s="339"/>
      <c r="F25" s="339"/>
      <c r="G25" s="339"/>
      <c r="H25" s="339" t="s">
        <v>202</v>
      </c>
      <c r="I25" s="339"/>
      <c r="J25" s="354">
        <f t="shared" si="0"/>
        <v>0</v>
      </c>
      <c r="K25" s="352"/>
      <c r="L25" s="11"/>
      <c r="M25" s="11"/>
      <c r="N25" s="11"/>
      <c r="O25" s="11"/>
      <c r="P25" s="62"/>
    </row>
    <row r="26" spans="3:16" ht="14.25" hidden="1" customHeight="1">
      <c r="C26" s="64" t="s">
        <v>64</v>
      </c>
      <c r="D26" s="339"/>
      <c r="E26" s="339"/>
      <c r="F26" s="339"/>
      <c r="G26" s="339"/>
      <c r="H26" s="339" t="s">
        <v>200</v>
      </c>
      <c r="I26" s="339"/>
      <c r="J26" s="354">
        <f t="shared" si="0"/>
        <v>0</v>
      </c>
      <c r="K26" s="352"/>
      <c r="L26" s="11"/>
      <c r="M26" s="11"/>
      <c r="N26" s="11"/>
      <c r="O26" s="11"/>
      <c r="P26" s="62"/>
    </row>
    <row r="27" spans="3:16" ht="14.25" hidden="1" customHeight="1">
      <c r="C27" s="64" t="s">
        <v>65</v>
      </c>
      <c r="D27" s="339"/>
      <c r="E27" s="339"/>
      <c r="F27" s="339"/>
      <c r="G27" s="339"/>
      <c r="H27" s="339" t="s">
        <v>200</v>
      </c>
      <c r="I27" s="339"/>
      <c r="J27" s="354">
        <f t="shared" si="0"/>
        <v>0</v>
      </c>
      <c r="K27" s="352"/>
      <c r="L27" s="11"/>
      <c r="M27" s="11"/>
      <c r="N27" s="11"/>
      <c r="O27" s="11"/>
      <c r="P27" s="62"/>
    </row>
    <row r="28" spans="3:16" ht="14.25" hidden="1" customHeight="1">
      <c r="C28" s="64" t="s">
        <v>66</v>
      </c>
      <c r="D28" s="339"/>
      <c r="E28" s="339"/>
      <c r="F28" s="339"/>
      <c r="G28" s="339"/>
      <c r="H28" s="339" t="s">
        <v>200</v>
      </c>
      <c r="I28" s="339"/>
      <c r="J28" s="354">
        <f t="shared" si="0"/>
        <v>0</v>
      </c>
      <c r="K28" s="352"/>
      <c r="L28" s="11"/>
      <c r="M28" s="11"/>
      <c r="N28" s="11"/>
      <c r="O28" s="11"/>
      <c r="P28" s="62"/>
    </row>
    <row r="29" spans="3:16" ht="14.25" hidden="1" customHeight="1">
      <c r="C29" s="64" t="s">
        <v>67</v>
      </c>
      <c r="D29" s="339"/>
      <c r="E29" s="339"/>
      <c r="F29" s="339"/>
      <c r="G29" s="339"/>
      <c r="H29" s="339" t="s">
        <v>202</v>
      </c>
      <c r="I29" s="339"/>
      <c r="J29" s="354">
        <f t="shared" si="0"/>
        <v>0</v>
      </c>
      <c r="K29" s="352"/>
      <c r="L29" s="11"/>
      <c r="M29" s="11"/>
      <c r="N29" s="11"/>
      <c r="O29" s="11"/>
      <c r="P29" s="62"/>
    </row>
    <row r="30" spans="3:16" ht="14.25" hidden="1" customHeight="1">
      <c r="C30" s="64" t="s">
        <v>68</v>
      </c>
      <c r="D30" s="339"/>
      <c r="E30" s="339"/>
      <c r="F30" s="339"/>
      <c r="G30" s="339"/>
      <c r="H30" s="339" t="s">
        <v>200</v>
      </c>
      <c r="I30" s="339"/>
      <c r="J30" s="354">
        <f t="shared" si="0"/>
        <v>0</v>
      </c>
      <c r="K30" s="352"/>
      <c r="L30" s="11"/>
      <c r="M30" s="11"/>
      <c r="N30" s="11"/>
      <c r="O30" s="11"/>
      <c r="P30" s="62"/>
    </row>
    <row r="31" spans="3:16" ht="14.25" hidden="1" customHeight="1">
      <c r="C31" s="64" t="s">
        <v>69</v>
      </c>
      <c r="D31" s="339"/>
      <c r="E31" s="339"/>
      <c r="F31" s="339"/>
      <c r="G31" s="339"/>
      <c r="H31" s="339" t="s">
        <v>200</v>
      </c>
      <c r="I31" s="339"/>
      <c r="J31" s="354">
        <f t="shared" si="0"/>
        <v>0</v>
      </c>
      <c r="K31" s="352"/>
      <c r="L31" s="11"/>
      <c r="M31" s="11"/>
      <c r="N31" s="11"/>
      <c r="O31" s="11"/>
      <c r="P31" s="62"/>
    </row>
    <row r="32" spans="3:16" ht="14.25" hidden="1" customHeight="1">
      <c r="C32" s="64" t="s">
        <v>70</v>
      </c>
      <c r="D32" s="339"/>
      <c r="E32" s="339"/>
      <c r="F32" s="339"/>
      <c r="G32" s="339"/>
      <c r="H32" s="339" t="s">
        <v>200</v>
      </c>
      <c r="I32" s="339"/>
      <c r="J32" s="354">
        <f t="shared" si="0"/>
        <v>0</v>
      </c>
      <c r="K32" s="352"/>
      <c r="L32" s="11"/>
      <c r="M32" s="11"/>
      <c r="N32" s="11"/>
      <c r="O32" s="11"/>
      <c r="P32" s="62"/>
    </row>
    <row r="33" spans="2:16" ht="14.25" hidden="1" customHeight="1">
      <c r="C33" s="64" t="s">
        <v>71</v>
      </c>
      <c r="D33" s="339"/>
      <c r="E33" s="339"/>
      <c r="F33" s="339"/>
      <c r="G33" s="339"/>
      <c r="H33" s="339" t="s">
        <v>202</v>
      </c>
      <c r="I33" s="339"/>
      <c r="J33" s="354">
        <f t="shared" si="0"/>
        <v>0</v>
      </c>
      <c r="K33" s="352"/>
      <c r="L33" s="11"/>
      <c r="M33" s="11"/>
      <c r="N33" s="11"/>
      <c r="O33" s="11"/>
      <c r="P33" s="62"/>
    </row>
    <row r="34" spans="2:16" ht="14.25" hidden="1" customHeight="1">
      <c r="C34" s="64" t="s">
        <v>72</v>
      </c>
      <c r="D34" s="339"/>
      <c r="E34" s="339"/>
      <c r="F34" s="339"/>
      <c r="G34" s="339"/>
      <c r="H34" s="339" t="s">
        <v>202</v>
      </c>
      <c r="I34" s="339"/>
      <c r="J34" s="354">
        <f t="shared" si="0"/>
        <v>0</v>
      </c>
      <c r="K34" s="352"/>
      <c r="L34" s="11"/>
      <c r="M34" s="11"/>
      <c r="N34" s="11"/>
      <c r="O34" s="11"/>
      <c r="P34" s="62"/>
    </row>
    <row r="35" spans="2:16" ht="14.25" hidden="1" customHeight="1">
      <c r="C35" s="64" t="s">
        <v>73</v>
      </c>
      <c r="D35" s="339"/>
      <c r="E35" s="339"/>
      <c r="F35" s="339"/>
      <c r="G35" s="339"/>
      <c r="H35" s="339" t="s">
        <v>200</v>
      </c>
      <c r="I35" s="339"/>
      <c r="J35" s="354">
        <f t="shared" si="0"/>
        <v>0</v>
      </c>
      <c r="K35" s="352"/>
      <c r="L35" s="11"/>
      <c r="M35" s="11"/>
      <c r="N35" s="11"/>
      <c r="O35" s="11"/>
      <c r="P35" s="62"/>
    </row>
    <row r="36" spans="2:16" ht="14.25" hidden="1" customHeight="1">
      <c r="C36" s="64" t="s">
        <v>74</v>
      </c>
      <c r="D36" s="339"/>
      <c r="E36" s="339"/>
      <c r="F36" s="339"/>
      <c r="G36" s="339"/>
      <c r="H36" s="339" t="s">
        <v>200</v>
      </c>
      <c r="I36" s="339"/>
      <c r="J36" s="354">
        <f t="shared" si="0"/>
        <v>0</v>
      </c>
      <c r="K36" s="352"/>
      <c r="L36" s="11"/>
      <c r="M36" s="11"/>
      <c r="N36" s="11"/>
      <c r="O36" s="11"/>
      <c r="P36" s="62"/>
    </row>
    <row r="37" spans="2:16" ht="14.25" hidden="1" customHeight="1">
      <c r="C37" s="64" t="s">
        <v>75</v>
      </c>
      <c r="D37" s="339"/>
      <c r="E37" s="339"/>
      <c r="F37" s="339"/>
      <c r="G37" s="339"/>
      <c r="H37" s="339" t="s">
        <v>202</v>
      </c>
      <c r="I37" s="339"/>
      <c r="J37" s="354">
        <f t="shared" si="0"/>
        <v>0</v>
      </c>
      <c r="K37" s="352"/>
      <c r="L37" s="11"/>
      <c r="M37" s="11"/>
      <c r="N37" s="11"/>
      <c r="O37" s="11"/>
      <c r="P37" s="62"/>
    </row>
    <row r="38" spans="2:16" ht="14.25" hidden="1" customHeight="1">
      <c r="C38" s="64" t="s">
        <v>76</v>
      </c>
      <c r="D38" s="339"/>
      <c r="E38" s="339"/>
      <c r="F38" s="339"/>
      <c r="G38" s="339"/>
      <c r="H38" s="339" t="s">
        <v>201</v>
      </c>
      <c r="I38" s="339"/>
      <c r="J38" s="354">
        <f t="shared" si="0"/>
        <v>0</v>
      </c>
      <c r="K38" s="352"/>
      <c r="L38" s="11"/>
      <c r="M38" s="11"/>
      <c r="N38" s="11"/>
      <c r="O38" s="11"/>
      <c r="P38" s="62"/>
    </row>
    <row r="39" spans="2:16" ht="14.25" hidden="1" customHeight="1">
      <c r="C39" s="64" t="s">
        <v>77</v>
      </c>
      <c r="D39" s="339"/>
      <c r="E39" s="339"/>
      <c r="F39" s="339"/>
      <c r="G39" s="339"/>
      <c r="H39" s="339" t="s">
        <v>201</v>
      </c>
      <c r="I39" s="339"/>
      <c r="J39" s="354">
        <f t="shared" si="0"/>
        <v>0</v>
      </c>
      <c r="K39" s="352"/>
      <c r="L39" s="11"/>
      <c r="M39" s="11"/>
      <c r="N39" s="11"/>
      <c r="O39" s="11"/>
      <c r="P39" s="62"/>
    </row>
    <row r="40" spans="2:16" ht="14.25" hidden="1" customHeight="1">
      <c r="C40" s="64" t="s">
        <v>78</v>
      </c>
      <c r="D40" s="339"/>
      <c r="E40" s="339"/>
      <c r="F40" s="339"/>
      <c r="G40" s="339"/>
      <c r="H40" s="339" t="s">
        <v>201</v>
      </c>
      <c r="I40" s="339"/>
      <c r="J40" s="354">
        <f t="shared" si="0"/>
        <v>0</v>
      </c>
      <c r="K40" s="352"/>
      <c r="L40" s="11"/>
      <c r="M40" s="11"/>
      <c r="N40" s="11"/>
      <c r="O40" s="11"/>
      <c r="P40" s="62"/>
    </row>
    <row r="41" spans="2:16" ht="14.25" hidden="1" customHeight="1">
      <c r="C41" s="64" t="s">
        <v>79</v>
      </c>
      <c r="D41" s="339"/>
      <c r="E41" s="339"/>
      <c r="F41" s="339"/>
      <c r="G41" s="339"/>
      <c r="H41" s="339" t="s">
        <v>200</v>
      </c>
      <c r="I41" s="339"/>
      <c r="J41" s="354">
        <f t="shared" si="0"/>
        <v>0</v>
      </c>
      <c r="K41" s="352"/>
      <c r="L41" s="11"/>
      <c r="M41" s="11"/>
      <c r="N41" s="11"/>
      <c r="O41" s="11"/>
      <c r="P41" s="62"/>
    </row>
    <row r="42" spans="2:16" ht="14.25" hidden="1" customHeight="1">
      <c r="C42" s="64" t="s">
        <v>80</v>
      </c>
      <c r="D42" s="339"/>
      <c r="E42" s="339"/>
      <c r="F42" s="339"/>
      <c r="G42" s="339"/>
      <c r="H42" s="339" t="s">
        <v>201</v>
      </c>
      <c r="I42" s="339"/>
      <c r="J42" s="354">
        <f t="shared" si="0"/>
        <v>0</v>
      </c>
      <c r="K42" s="352"/>
      <c r="L42" s="11"/>
      <c r="M42" s="11"/>
      <c r="N42" s="11"/>
      <c r="O42" s="11"/>
      <c r="P42" s="62"/>
    </row>
    <row r="43" spans="2:16" ht="14.25" hidden="1" customHeight="1">
      <c r="C43" s="64" t="s">
        <v>81</v>
      </c>
      <c r="D43" s="348"/>
      <c r="E43" s="348"/>
      <c r="F43" s="348"/>
      <c r="G43" s="348"/>
      <c r="H43" s="339" t="s">
        <v>200</v>
      </c>
      <c r="I43" s="339"/>
      <c r="J43" s="354">
        <f t="shared" si="0"/>
        <v>0</v>
      </c>
      <c r="K43" s="352"/>
      <c r="L43" s="11"/>
      <c r="M43" s="11"/>
      <c r="N43" s="11"/>
      <c r="O43" s="11"/>
      <c r="P43" s="62"/>
    </row>
    <row r="44" spans="2:16" ht="14.25" customHeight="1">
      <c r="C44" s="65" t="s">
        <v>203</v>
      </c>
      <c r="D44" s="349"/>
      <c r="E44" s="350"/>
      <c r="F44" s="350"/>
      <c r="G44" s="350"/>
      <c r="H44" s="350"/>
      <c r="I44" s="351"/>
      <c r="J44" s="352">
        <f>SUM(J14:K43)</f>
        <v>195</v>
      </c>
      <c r="K44" s="339"/>
    </row>
    <row r="45" spans="2:16" ht="14.25" customHeight="1"/>
    <row r="46" spans="2:16" ht="14.25" customHeight="1">
      <c r="B46" s="60" t="s">
        <v>204</v>
      </c>
    </row>
    <row r="47" spans="2:16" ht="14.25" customHeight="1">
      <c r="C47" s="62" t="s">
        <v>205</v>
      </c>
      <c r="D47" s="60" t="s">
        <v>206</v>
      </c>
    </row>
    <row r="48" spans="2:16" ht="14.25" customHeight="1"/>
    <row r="49" spans="2:11" ht="14.25" customHeight="1">
      <c r="C49" s="62" t="s">
        <v>19</v>
      </c>
      <c r="D49" s="9">
        <f>J44</f>
        <v>195</v>
      </c>
      <c r="E49" s="62" t="s">
        <v>207</v>
      </c>
      <c r="F49" s="66">
        <v>1.0999999999999999E-2</v>
      </c>
      <c r="G49" s="62" t="s">
        <v>208</v>
      </c>
      <c r="H49" s="9">
        <f>J44</f>
        <v>195</v>
      </c>
      <c r="I49" s="62" t="s">
        <v>209</v>
      </c>
      <c r="J49" s="62">
        <v>0.55000000000000004</v>
      </c>
      <c r="K49" s="60" t="s">
        <v>210</v>
      </c>
    </row>
    <row r="50" spans="2:11" ht="14.25" customHeight="1"/>
    <row r="51" spans="2:11" ht="14.25" customHeight="1">
      <c r="C51" s="62" t="s">
        <v>211</v>
      </c>
      <c r="D51" s="9">
        <f>ROUND(D49/(F49*H49+J49),0)</f>
        <v>72</v>
      </c>
      <c r="E51" s="60" t="s">
        <v>212</v>
      </c>
      <c r="F51" s="62"/>
      <c r="G51" s="11"/>
      <c r="I51" s="62"/>
      <c r="J51" s="67"/>
    </row>
    <row r="52" spans="2:11" ht="14.25" customHeight="1"/>
    <row r="53" spans="2:11" ht="14.25" customHeight="1">
      <c r="B53" s="60" t="s">
        <v>213</v>
      </c>
    </row>
    <row r="54" spans="2:11" ht="14.25" customHeight="1">
      <c r="C54" s="62" t="s">
        <v>84</v>
      </c>
      <c r="D54" s="60" t="s">
        <v>214</v>
      </c>
    </row>
    <row r="55" spans="2:11" ht="14.25" customHeight="1"/>
    <row r="56" spans="2:11" ht="14.25" customHeight="1">
      <c r="C56" s="62" t="s">
        <v>19</v>
      </c>
      <c r="D56" s="9">
        <f>J44</f>
        <v>195</v>
      </c>
      <c r="E56" s="62" t="s">
        <v>215</v>
      </c>
      <c r="F56" s="9">
        <f>D51</f>
        <v>72</v>
      </c>
    </row>
    <row r="57" spans="2:11" ht="14.25" customHeight="1"/>
    <row r="58" spans="2:11" ht="14.25" customHeight="1" thickBot="1">
      <c r="C58" s="62" t="s">
        <v>19</v>
      </c>
      <c r="D58" s="43">
        <f>ROUND(D56/F56,1)</f>
        <v>2.7</v>
      </c>
      <c r="E58" s="68" t="s">
        <v>216</v>
      </c>
    </row>
    <row r="59" spans="2:11" ht="14.25" customHeight="1"/>
    <row r="60" spans="2:11" ht="14.25" customHeight="1"/>
    <row r="61" spans="2:11" ht="14.25" customHeight="1">
      <c r="B61" s="61" t="s">
        <v>217</v>
      </c>
    </row>
    <row r="62" spans="2:11" ht="14.25" customHeight="1"/>
    <row r="63" spans="2:11" ht="14.25" customHeight="1">
      <c r="C63" s="62" t="s">
        <v>218</v>
      </c>
      <c r="D63" s="60" t="s">
        <v>219</v>
      </c>
    </row>
    <row r="64" spans="2:11" ht="14.25" customHeight="1">
      <c r="C64" s="62"/>
    </row>
    <row r="65" spans="3:16" ht="14.25" customHeight="1">
      <c r="C65" s="62" t="s">
        <v>220</v>
      </c>
      <c r="D65" s="60" t="s">
        <v>221</v>
      </c>
      <c r="O65" s="60" t="s">
        <v>222</v>
      </c>
    </row>
    <row r="66" spans="3:16" ht="14.25" customHeight="1">
      <c r="C66" s="62"/>
      <c r="D66" s="60" t="s">
        <v>223</v>
      </c>
      <c r="O66" s="60" t="s">
        <v>224</v>
      </c>
    </row>
    <row r="67" spans="3:16" ht="14.25" customHeight="1"/>
    <row r="68" spans="3:16" ht="14.25" customHeight="1">
      <c r="D68" s="62" t="s">
        <v>225</v>
      </c>
      <c r="E68" s="60" t="s">
        <v>226</v>
      </c>
    </row>
    <row r="69" spans="3:16" ht="14.25" customHeight="1">
      <c r="D69" s="62" t="s">
        <v>227</v>
      </c>
      <c r="E69" s="60" t="s">
        <v>228</v>
      </c>
    </row>
    <row r="70" spans="3:16" ht="14.25" customHeight="1">
      <c r="D70" s="62" t="s">
        <v>229</v>
      </c>
      <c r="E70" s="60" t="s">
        <v>230</v>
      </c>
    </row>
    <row r="71" spans="3:16" ht="14.25" customHeight="1">
      <c r="D71" s="62" t="s">
        <v>231</v>
      </c>
      <c r="E71" s="60" t="s">
        <v>195</v>
      </c>
    </row>
    <row r="72" spans="3:16" ht="14.25" customHeight="1">
      <c r="D72" s="62"/>
    </row>
    <row r="73" spans="3:16" ht="14.25" customHeight="1">
      <c r="C73" s="63"/>
      <c r="D73" s="338" t="s">
        <v>232</v>
      </c>
      <c r="E73" s="338"/>
      <c r="F73" s="338" t="s">
        <v>233</v>
      </c>
      <c r="G73" s="338"/>
      <c r="H73" s="338" t="s">
        <v>234</v>
      </c>
      <c r="I73" s="338"/>
      <c r="J73" s="338" t="s">
        <v>235</v>
      </c>
      <c r="K73" s="338"/>
      <c r="L73" s="338" t="s">
        <v>236</v>
      </c>
      <c r="M73" s="338"/>
    </row>
    <row r="74" spans="3:16" ht="14.25" customHeight="1">
      <c r="C74" s="64" t="s">
        <v>52</v>
      </c>
      <c r="D74" s="353">
        <f>'[1]基本 (2)'!D12</f>
        <v>5</v>
      </c>
      <c r="E74" s="353"/>
      <c r="F74" s="339">
        <f>'[1]基本 (2)'!D53</f>
        <v>8</v>
      </c>
      <c r="G74" s="339"/>
      <c r="H74" s="339">
        <f>ROUND('[1]基本 (2)'!L10,1)</f>
        <v>11</v>
      </c>
      <c r="I74" s="339"/>
      <c r="J74" s="339" t="str">
        <f t="shared" ref="J74:J103" si="1">IF(F74&lt;10,"①","②")</f>
        <v>①</v>
      </c>
      <c r="K74" s="339"/>
      <c r="L74" s="339">
        <f t="shared" ref="L74:L103" si="2">IF(F74&lt;&gt;"",IF(J74="①",ROUND(0.372*(H74+1.5)+(4.737*D74+0.372*(H74+1.5))*(F74/10),1),ROUND(0.39*D74*F74+0.744*(H74+1.5)+0.837*D74,1)),0)</f>
        <v>27.3</v>
      </c>
      <c r="M74" s="339"/>
      <c r="N74" s="11"/>
      <c r="O74" s="11"/>
      <c r="P74" s="62"/>
    </row>
    <row r="75" spans="3:16" ht="14.25" customHeight="1">
      <c r="C75" s="64" t="s">
        <v>53</v>
      </c>
      <c r="D75" s="353">
        <f>'[1]基本 (2)'!D12</f>
        <v>5</v>
      </c>
      <c r="E75" s="353"/>
      <c r="F75" s="339">
        <f>'[1]基本 (2)'!D54</f>
        <v>8</v>
      </c>
      <c r="G75" s="339"/>
      <c r="H75" s="339">
        <f>ROUND('[1]基本 (2)'!L10,1)</f>
        <v>11</v>
      </c>
      <c r="I75" s="339"/>
      <c r="J75" s="339" t="str">
        <f t="shared" si="1"/>
        <v>①</v>
      </c>
      <c r="K75" s="339"/>
      <c r="L75" s="339">
        <f t="shared" si="2"/>
        <v>27.3</v>
      </c>
      <c r="M75" s="339"/>
      <c r="N75" s="11"/>
      <c r="O75" s="11"/>
      <c r="P75" s="62"/>
    </row>
    <row r="76" spans="3:16" ht="14.25" customHeight="1">
      <c r="C76" s="64" t="s">
        <v>54</v>
      </c>
      <c r="D76" s="353">
        <f>'[1]基本 (2)'!D12</f>
        <v>5</v>
      </c>
      <c r="E76" s="353"/>
      <c r="F76" s="339">
        <f>'[1]基本 (2)'!D55</f>
        <v>9</v>
      </c>
      <c r="G76" s="339"/>
      <c r="H76" s="339">
        <f>ROUND('[1]基本 (2)'!L10,1)</f>
        <v>11</v>
      </c>
      <c r="I76" s="339"/>
      <c r="J76" s="339" t="str">
        <f t="shared" si="1"/>
        <v>①</v>
      </c>
      <c r="K76" s="339"/>
      <c r="L76" s="339">
        <f t="shared" si="2"/>
        <v>30.2</v>
      </c>
      <c r="M76" s="339"/>
      <c r="N76" s="11"/>
      <c r="O76" s="11"/>
      <c r="P76" s="62"/>
    </row>
    <row r="77" spans="3:16" ht="14.25" customHeight="1">
      <c r="C77" s="64" t="s">
        <v>55</v>
      </c>
      <c r="D77" s="353">
        <f>'[1]基本 (2)'!D12</f>
        <v>5</v>
      </c>
      <c r="E77" s="353"/>
      <c r="F77" s="339">
        <f>'[1]基本 (2)'!D56</f>
        <v>9</v>
      </c>
      <c r="G77" s="339"/>
      <c r="H77" s="339">
        <f>ROUND('[1]基本 (2)'!L10,1)</f>
        <v>11</v>
      </c>
      <c r="I77" s="339"/>
      <c r="J77" s="339" t="str">
        <f t="shared" si="1"/>
        <v>①</v>
      </c>
      <c r="K77" s="339"/>
      <c r="L77" s="339">
        <f t="shared" si="2"/>
        <v>30.2</v>
      </c>
      <c r="M77" s="339"/>
      <c r="N77" s="11"/>
      <c r="O77" s="11"/>
      <c r="P77" s="62"/>
    </row>
    <row r="78" spans="3:16" ht="14.25" customHeight="1">
      <c r="C78" s="64" t="s">
        <v>56</v>
      </c>
      <c r="D78" s="353">
        <f>'[1]基本 (2)'!D12</f>
        <v>5</v>
      </c>
      <c r="E78" s="353"/>
      <c r="F78" s="339">
        <f>'[1]基本 (2)'!D57</f>
        <v>12</v>
      </c>
      <c r="G78" s="339"/>
      <c r="H78" s="339">
        <f>ROUND('[1]基本 (2)'!L10,1)</f>
        <v>11</v>
      </c>
      <c r="I78" s="339"/>
      <c r="J78" s="339" t="str">
        <f t="shared" si="1"/>
        <v>②</v>
      </c>
      <c r="K78" s="339"/>
      <c r="L78" s="339">
        <f t="shared" si="2"/>
        <v>36.9</v>
      </c>
      <c r="M78" s="339"/>
      <c r="N78" s="11"/>
      <c r="O78" s="11"/>
      <c r="P78" s="62"/>
    </row>
    <row r="79" spans="3:16" ht="14.25" hidden="1" customHeight="1">
      <c r="C79" s="64" t="s">
        <v>57</v>
      </c>
      <c r="D79" s="353"/>
      <c r="E79" s="353"/>
      <c r="F79" s="339"/>
      <c r="G79" s="339"/>
      <c r="H79" s="339"/>
      <c r="I79" s="339"/>
      <c r="J79" s="339" t="str">
        <f t="shared" si="1"/>
        <v>①</v>
      </c>
      <c r="K79" s="339"/>
      <c r="L79" s="339">
        <f t="shared" si="2"/>
        <v>0</v>
      </c>
      <c r="M79" s="339"/>
      <c r="N79" s="11"/>
      <c r="O79" s="11"/>
      <c r="P79" s="62"/>
    </row>
    <row r="80" spans="3:16" ht="14.25" hidden="1" customHeight="1">
      <c r="C80" s="64" t="s">
        <v>58</v>
      </c>
      <c r="D80" s="353"/>
      <c r="E80" s="353"/>
      <c r="F80" s="339"/>
      <c r="G80" s="339"/>
      <c r="H80" s="339"/>
      <c r="I80" s="339"/>
      <c r="J80" s="339" t="str">
        <f t="shared" si="1"/>
        <v>①</v>
      </c>
      <c r="K80" s="339"/>
      <c r="L80" s="339">
        <f t="shared" si="2"/>
        <v>0</v>
      </c>
      <c r="M80" s="339"/>
      <c r="N80" s="11"/>
      <c r="O80" s="11"/>
      <c r="P80" s="62"/>
    </row>
    <row r="81" spans="3:16" ht="14.25" hidden="1" customHeight="1">
      <c r="C81" s="64" t="s">
        <v>59</v>
      </c>
      <c r="D81" s="353"/>
      <c r="E81" s="353"/>
      <c r="F81" s="339"/>
      <c r="G81" s="339"/>
      <c r="H81" s="339"/>
      <c r="I81" s="339"/>
      <c r="J81" s="339" t="str">
        <f t="shared" si="1"/>
        <v>①</v>
      </c>
      <c r="K81" s="339"/>
      <c r="L81" s="339">
        <f t="shared" si="2"/>
        <v>0</v>
      </c>
      <c r="M81" s="339"/>
      <c r="N81" s="11"/>
      <c r="O81" s="11"/>
      <c r="P81" s="62"/>
    </row>
    <row r="82" spans="3:16" ht="14.25" hidden="1" customHeight="1">
      <c r="C82" s="64" t="s">
        <v>60</v>
      </c>
      <c r="D82" s="353"/>
      <c r="E82" s="353"/>
      <c r="F82" s="339"/>
      <c r="G82" s="339"/>
      <c r="H82" s="339"/>
      <c r="I82" s="339"/>
      <c r="J82" s="339" t="str">
        <f t="shared" si="1"/>
        <v>①</v>
      </c>
      <c r="K82" s="339"/>
      <c r="L82" s="339">
        <f t="shared" si="2"/>
        <v>0</v>
      </c>
      <c r="M82" s="339"/>
      <c r="N82" s="11"/>
      <c r="O82" s="11"/>
      <c r="P82" s="62"/>
    </row>
    <row r="83" spans="3:16" ht="14.25" hidden="1" customHeight="1">
      <c r="C83" s="64" t="s">
        <v>61</v>
      </c>
      <c r="D83" s="353"/>
      <c r="E83" s="353"/>
      <c r="F83" s="339"/>
      <c r="G83" s="339"/>
      <c r="H83" s="339"/>
      <c r="I83" s="339"/>
      <c r="J83" s="339" t="str">
        <f t="shared" si="1"/>
        <v>①</v>
      </c>
      <c r="K83" s="339"/>
      <c r="L83" s="339">
        <f t="shared" si="2"/>
        <v>0</v>
      </c>
      <c r="M83" s="339"/>
      <c r="N83" s="11"/>
      <c r="O83" s="11"/>
      <c r="P83" s="62"/>
    </row>
    <row r="84" spans="3:16" ht="14.25" hidden="1" customHeight="1">
      <c r="C84" s="64" t="s">
        <v>62</v>
      </c>
      <c r="D84" s="353"/>
      <c r="E84" s="353"/>
      <c r="F84" s="339"/>
      <c r="G84" s="339"/>
      <c r="H84" s="339"/>
      <c r="I84" s="339"/>
      <c r="J84" s="339" t="str">
        <f t="shared" si="1"/>
        <v>①</v>
      </c>
      <c r="K84" s="339"/>
      <c r="L84" s="339">
        <f t="shared" si="2"/>
        <v>0</v>
      </c>
      <c r="M84" s="339"/>
      <c r="N84" s="11"/>
      <c r="O84" s="11"/>
      <c r="P84" s="62"/>
    </row>
    <row r="85" spans="3:16" ht="14.25" hidden="1" customHeight="1">
      <c r="C85" s="64" t="s">
        <v>63</v>
      </c>
      <c r="D85" s="353"/>
      <c r="E85" s="353"/>
      <c r="F85" s="339"/>
      <c r="G85" s="339"/>
      <c r="H85" s="339"/>
      <c r="I85" s="339"/>
      <c r="J85" s="339" t="str">
        <f t="shared" si="1"/>
        <v>①</v>
      </c>
      <c r="K85" s="339"/>
      <c r="L85" s="339">
        <f t="shared" si="2"/>
        <v>0</v>
      </c>
      <c r="M85" s="339"/>
      <c r="N85" s="11"/>
      <c r="O85" s="11"/>
      <c r="P85" s="62"/>
    </row>
    <row r="86" spans="3:16" ht="14.25" hidden="1" customHeight="1">
      <c r="C86" s="64" t="s">
        <v>64</v>
      </c>
      <c r="D86" s="353"/>
      <c r="E86" s="353"/>
      <c r="F86" s="339"/>
      <c r="G86" s="339"/>
      <c r="H86" s="339"/>
      <c r="I86" s="339"/>
      <c r="J86" s="339" t="str">
        <f t="shared" si="1"/>
        <v>①</v>
      </c>
      <c r="K86" s="339"/>
      <c r="L86" s="339">
        <f t="shared" si="2"/>
        <v>0</v>
      </c>
      <c r="M86" s="339"/>
      <c r="N86" s="11"/>
      <c r="O86" s="11"/>
      <c r="P86" s="62"/>
    </row>
    <row r="87" spans="3:16" ht="14.25" hidden="1" customHeight="1">
      <c r="C87" s="64" t="s">
        <v>65</v>
      </c>
      <c r="D87" s="353"/>
      <c r="E87" s="353"/>
      <c r="F87" s="339"/>
      <c r="G87" s="339"/>
      <c r="H87" s="339"/>
      <c r="I87" s="339"/>
      <c r="J87" s="339" t="str">
        <f t="shared" si="1"/>
        <v>①</v>
      </c>
      <c r="K87" s="339"/>
      <c r="L87" s="339">
        <f t="shared" si="2"/>
        <v>0</v>
      </c>
      <c r="M87" s="339"/>
      <c r="N87" s="11"/>
      <c r="O87" s="11"/>
      <c r="P87" s="62"/>
    </row>
    <row r="88" spans="3:16" ht="14.25" hidden="1" customHeight="1">
      <c r="C88" s="64" t="s">
        <v>66</v>
      </c>
      <c r="D88" s="353"/>
      <c r="E88" s="353"/>
      <c r="F88" s="339"/>
      <c r="G88" s="339"/>
      <c r="H88" s="339"/>
      <c r="I88" s="339"/>
      <c r="J88" s="339" t="str">
        <f t="shared" si="1"/>
        <v>①</v>
      </c>
      <c r="K88" s="339"/>
      <c r="L88" s="339">
        <f t="shared" si="2"/>
        <v>0</v>
      </c>
      <c r="M88" s="339"/>
      <c r="N88" s="11"/>
      <c r="O88" s="11"/>
      <c r="P88" s="62"/>
    </row>
    <row r="89" spans="3:16" ht="14.25" hidden="1" customHeight="1">
      <c r="C89" s="64" t="s">
        <v>67</v>
      </c>
      <c r="D89" s="353"/>
      <c r="E89" s="353"/>
      <c r="F89" s="339"/>
      <c r="G89" s="339"/>
      <c r="H89" s="339"/>
      <c r="I89" s="339"/>
      <c r="J89" s="339" t="str">
        <f t="shared" si="1"/>
        <v>①</v>
      </c>
      <c r="K89" s="339"/>
      <c r="L89" s="339">
        <f t="shared" si="2"/>
        <v>0</v>
      </c>
      <c r="M89" s="339"/>
      <c r="N89" s="11"/>
      <c r="O89" s="11"/>
      <c r="P89" s="62"/>
    </row>
    <row r="90" spans="3:16" ht="14.25" hidden="1" customHeight="1">
      <c r="C90" s="64" t="s">
        <v>68</v>
      </c>
      <c r="D90" s="353"/>
      <c r="E90" s="353"/>
      <c r="F90" s="339"/>
      <c r="G90" s="339"/>
      <c r="H90" s="339"/>
      <c r="I90" s="339"/>
      <c r="J90" s="339" t="str">
        <f t="shared" si="1"/>
        <v>①</v>
      </c>
      <c r="K90" s="339"/>
      <c r="L90" s="339">
        <f t="shared" si="2"/>
        <v>0</v>
      </c>
      <c r="M90" s="339"/>
      <c r="N90" s="11"/>
      <c r="O90" s="11"/>
      <c r="P90" s="62"/>
    </row>
    <row r="91" spans="3:16" ht="14.25" hidden="1" customHeight="1">
      <c r="C91" s="64" t="s">
        <v>69</v>
      </c>
      <c r="D91" s="353"/>
      <c r="E91" s="353"/>
      <c r="F91" s="339"/>
      <c r="G91" s="339"/>
      <c r="H91" s="339"/>
      <c r="I91" s="339"/>
      <c r="J91" s="339" t="str">
        <f t="shared" si="1"/>
        <v>①</v>
      </c>
      <c r="K91" s="339"/>
      <c r="L91" s="339">
        <f t="shared" si="2"/>
        <v>0</v>
      </c>
      <c r="M91" s="339"/>
      <c r="N91" s="11"/>
      <c r="O91" s="11"/>
      <c r="P91" s="62"/>
    </row>
    <row r="92" spans="3:16" ht="14.25" hidden="1" customHeight="1">
      <c r="C92" s="64" t="s">
        <v>70</v>
      </c>
      <c r="D92" s="353"/>
      <c r="E92" s="353"/>
      <c r="F92" s="339"/>
      <c r="G92" s="339"/>
      <c r="H92" s="339"/>
      <c r="I92" s="339"/>
      <c r="J92" s="339" t="str">
        <f t="shared" si="1"/>
        <v>①</v>
      </c>
      <c r="K92" s="339"/>
      <c r="L92" s="339">
        <f t="shared" si="2"/>
        <v>0</v>
      </c>
      <c r="M92" s="339"/>
      <c r="N92" s="11"/>
      <c r="O92" s="11"/>
      <c r="P92" s="62"/>
    </row>
    <row r="93" spans="3:16" ht="14.25" hidden="1" customHeight="1">
      <c r="C93" s="64" t="s">
        <v>71</v>
      </c>
      <c r="D93" s="353"/>
      <c r="E93" s="353"/>
      <c r="F93" s="339"/>
      <c r="G93" s="339"/>
      <c r="H93" s="339"/>
      <c r="I93" s="339"/>
      <c r="J93" s="339" t="str">
        <f t="shared" si="1"/>
        <v>①</v>
      </c>
      <c r="K93" s="339"/>
      <c r="L93" s="339">
        <f t="shared" si="2"/>
        <v>0</v>
      </c>
      <c r="M93" s="339"/>
      <c r="N93" s="11"/>
      <c r="O93" s="11"/>
      <c r="P93" s="62"/>
    </row>
    <row r="94" spans="3:16" ht="14.25" hidden="1" customHeight="1">
      <c r="C94" s="64" t="s">
        <v>72</v>
      </c>
      <c r="D94" s="353"/>
      <c r="E94" s="353"/>
      <c r="F94" s="339"/>
      <c r="G94" s="339"/>
      <c r="H94" s="339"/>
      <c r="I94" s="339"/>
      <c r="J94" s="339" t="str">
        <f t="shared" si="1"/>
        <v>①</v>
      </c>
      <c r="K94" s="339"/>
      <c r="L94" s="339">
        <f t="shared" si="2"/>
        <v>0</v>
      </c>
      <c r="M94" s="339"/>
      <c r="N94" s="11"/>
      <c r="O94" s="11"/>
      <c r="P94" s="62"/>
    </row>
    <row r="95" spans="3:16" ht="14.25" hidden="1" customHeight="1">
      <c r="C95" s="64" t="s">
        <v>73</v>
      </c>
      <c r="D95" s="353"/>
      <c r="E95" s="353"/>
      <c r="F95" s="339"/>
      <c r="G95" s="339"/>
      <c r="H95" s="339"/>
      <c r="I95" s="339"/>
      <c r="J95" s="339" t="str">
        <f t="shared" si="1"/>
        <v>①</v>
      </c>
      <c r="K95" s="339"/>
      <c r="L95" s="339">
        <f t="shared" si="2"/>
        <v>0</v>
      </c>
      <c r="M95" s="339"/>
      <c r="N95" s="11"/>
      <c r="O95" s="11"/>
      <c r="P95" s="62"/>
    </row>
    <row r="96" spans="3:16" ht="14.25" hidden="1" customHeight="1">
      <c r="C96" s="64" t="s">
        <v>74</v>
      </c>
      <c r="D96" s="353"/>
      <c r="E96" s="353"/>
      <c r="F96" s="339"/>
      <c r="G96" s="339"/>
      <c r="H96" s="339"/>
      <c r="I96" s="339"/>
      <c r="J96" s="339" t="str">
        <f t="shared" si="1"/>
        <v>①</v>
      </c>
      <c r="K96" s="339"/>
      <c r="L96" s="339">
        <f t="shared" si="2"/>
        <v>0</v>
      </c>
      <c r="M96" s="339"/>
      <c r="N96" s="11"/>
      <c r="O96" s="11"/>
      <c r="P96" s="62"/>
    </row>
    <row r="97" spans="2:16" ht="14.25" hidden="1" customHeight="1">
      <c r="C97" s="64" t="s">
        <v>75</v>
      </c>
      <c r="D97" s="353"/>
      <c r="E97" s="353"/>
      <c r="F97" s="339"/>
      <c r="G97" s="339"/>
      <c r="H97" s="339"/>
      <c r="I97" s="339"/>
      <c r="J97" s="339" t="str">
        <f t="shared" si="1"/>
        <v>①</v>
      </c>
      <c r="K97" s="339"/>
      <c r="L97" s="339">
        <f t="shared" si="2"/>
        <v>0</v>
      </c>
      <c r="M97" s="339"/>
      <c r="N97" s="11"/>
      <c r="O97" s="11"/>
      <c r="P97" s="62"/>
    </row>
    <row r="98" spans="2:16" ht="14.25" hidden="1" customHeight="1">
      <c r="C98" s="64" t="s">
        <v>76</v>
      </c>
      <c r="D98" s="353"/>
      <c r="E98" s="353"/>
      <c r="F98" s="339"/>
      <c r="G98" s="339"/>
      <c r="H98" s="339"/>
      <c r="I98" s="339"/>
      <c r="J98" s="339" t="str">
        <f t="shared" si="1"/>
        <v>①</v>
      </c>
      <c r="K98" s="339"/>
      <c r="L98" s="339">
        <f t="shared" si="2"/>
        <v>0</v>
      </c>
      <c r="M98" s="339"/>
      <c r="N98" s="11"/>
      <c r="O98" s="11"/>
      <c r="P98" s="62"/>
    </row>
    <row r="99" spans="2:16" ht="14.25" hidden="1" customHeight="1">
      <c r="C99" s="64" t="s">
        <v>77</v>
      </c>
      <c r="D99" s="353"/>
      <c r="E99" s="353"/>
      <c r="F99" s="339"/>
      <c r="G99" s="339"/>
      <c r="H99" s="339"/>
      <c r="I99" s="339"/>
      <c r="J99" s="339" t="str">
        <f t="shared" si="1"/>
        <v>①</v>
      </c>
      <c r="K99" s="339"/>
      <c r="L99" s="339">
        <f t="shared" si="2"/>
        <v>0</v>
      </c>
      <c r="M99" s="339"/>
      <c r="N99" s="11"/>
      <c r="O99" s="11"/>
      <c r="P99" s="62"/>
    </row>
    <row r="100" spans="2:16" ht="14.25" hidden="1" customHeight="1">
      <c r="C100" s="64" t="s">
        <v>78</v>
      </c>
      <c r="D100" s="353"/>
      <c r="E100" s="353"/>
      <c r="F100" s="339"/>
      <c r="G100" s="339"/>
      <c r="H100" s="339"/>
      <c r="I100" s="339"/>
      <c r="J100" s="339" t="str">
        <f t="shared" si="1"/>
        <v>①</v>
      </c>
      <c r="K100" s="339"/>
      <c r="L100" s="339">
        <f t="shared" si="2"/>
        <v>0</v>
      </c>
      <c r="M100" s="339"/>
      <c r="N100" s="11"/>
      <c r="O100" s="11"/>
      <c r="P100" s="62"/>
    </row>
    <row r="101" spans="2:16" ht="14.25" hidden="1" customHeight="1">
      <c r="C101" s="64" t="s">
        <v>79</v>
      </c>
      <c r="D101" s="353"/>
      <c r="E101" s="353"/>
      <c r="F101" s="339"/>
      <c r="G101" s="339"/>
      <c r="H101" s="339"/>
      <c r="I101" s="339"/>
      <c r="J101" s="339" t="str">
        <f t="shared" si="1"/>
        <v>①</v>
      </c>
      <c r="K101" s="339"/>
      <c r="L101" s="339">
        <f t="shared" si="2"/>
        <v>0</v>
      </c>
      <c r="M101" s="339"/>
      <c r="N101" s="11"/>
      <c r="O101" s="11"/>
      <c r="P101" s="62"/>
    </row>
    <row r="102" spans="2:16" ht="14.25" hidden="1" customHeight="1">
      <c r="C102" s="64" t="s">
        <v>80</v>
      </c>
      <c r="D102" s="353"/>
      <c r="E102" s="353"/>
      <c r="F102" s="339"/>
      <c r="G102" s="339"/>
      <c r="H102" s="339"/>
      <c r="I102" s="339"/>
      <c r="J102" s="339" t="str">
        <f t="shared" si="1"/>
        <v>①</v>
      </c>
      <c r="K102" s="339"/>
      <c r="L102" s="339">
        <f t="shared" si="2"/>
        <v>0</v>
      </c>
      <c r="M102" s="339"/>
      <c r="N102" s="11"/>
      <c r="O102" s="11"/>
      <c r="P102" s="62"/>
    </row>
    <row r="103" spans="2:16" ht="14.25" hidden="1" customHeight="1">
      <c r="C103" s="64" t="s">
        <v>81</v>
      </c>
      <c r="D103" s="347"/>
      <c r="E103" s="347"/>
      <c r="F103" s="348"/>
      <c r="G103" s="348"/>
      <c r="H103" s="348"/>
      <c r="I103" s="348"/>
      <c r="J103" s="339" t="str">
        <f t="shared" si="1"/>
        <v>①</v>
      </c>
      <c r="K103" s="339"/>
      <c r="L103" s="339">
        <f t="shared" si="2"/>
        <v>0</v>
      </c>
      <c r="M103" s="339"/>
      <c r="N103" s="11"/>
      <c r="O103" s="11"/>
      <c r="P103" s="62"/>
    </row>
    <row r="104" spans="2:16" ht="14.25" customHeight="1">
      <c r="C104" s="65" t="s">
        <v>237</v>
      </c>
      <c r="D104" s="349"/>
      <c r="E104" s="350"/>
      <c r="F104" s="350"/>
      <c r="G104" s="350"/>
      <c r="H104" s="350"/>
      <c r="I104" s="350"/>
      <c r="J104" s="350"/>
      <c r="K104" s="351"/>
      <c r="L104" s="352">
        <f>SUM(L74:M103)</f>
        <v>151.9</v>
      </c>
      <c r="M104" s="339"/>
    </row>
    <row r="105" spans="2:16" ht="14.25" customHeight="1">
      <c r="D105" s="62"/>
    </row>
    <row r="106" spans="2:16" ht="14.25" customHeight="1">
      <c r="B106" s="60" t="s">
        <v>204</v>
      </c>
    </row>
    <row r="107" spans="2:16" ht="14.25" customHeight="1"/>
    <row r="108" spans="2:16" ht="14.25" customHeight="1">
      <c r="C108" s="62" t="s">
        <v>238</v>
      </c>
      <c r="D108" s="60" t="s">
        <v>239</v>
      </c>
      <c r="H108" s="62"/>
    </row>
    <row r="109" spans="2:16" ht="14.25" customHeight="1"/>
    <row r="110" spans="2:16" ht="14.25" customHeight="1">
      <c r="C110" s="62" t="s">
        <v>240</v>
      </c>
      <c r="D110" s="9">
        <f>L104</f>
        <v>151.9</v>
      </c>
      <c r="E110" s="62" t="s">
        <v>241</v>
      </c>
      <c r="F110" s="62">
        <v>0.13</v>
      </c>
      <c r="G110" s="62" t="s">
        <v>242</v>
      </c>
      <c r="H110" s="9">
        <f>L104</f>
        <v>151.9</v>
      </c>
      <c r="I110" s="62" t="s">
        <v>209</v>
      </c>
      <c r="J110" s="11">
        <v>1.6</v>
      </c>
      <c r="K110" s="60" t="s">
        <v>210</v>
      </c>
    </row>
    <row r="111" spans="2:16" ht="14.25" customHeight="1"/>
    <row r="112" spans="2:16" ht="14.25" customHeight="1">
      <c r="C112" s="62" t="s">
        <v>240</v>
      </c>
      <c r="D112" s="9">
        <f>ROUND(D110/(F110*H110+J110),1)</f>
        <v>7.1</v>
      </c>
      <c r="E112" s="60" t="s">
        <v>243</v>
      </c>
      <c r="F112" s="62"/>
      <c r="G112" s="11"/>
      <c r="I112" s="62"/>
      <c r="J112" s="67"/>
    </row>
    <row r="113" spans="2:8" ht="14.25" customHeight="1"/>
    <row r="114" spans="2:8" ht="14.25" customHeight="1">
      <c r="B114" s="60" t="s">
        <v>213</v>
      </c>
    </row>
    <row r="115" spans="2:8" ht="14.25" customHeight="1"/>
    <row r="116" spans="2:8" ht="14.25" customHeight="1">
      <c r="C116" s="62" t="s">
        <v>244</v>
      </c>
      <c r="D116" s="60" t="s">
        <v>245</v>
      </c>
    </row>
    <row r="117" spans="2:8" ht="14.25" customHeight="1"/>
    <row r="118" spans="2:8" ht="14.25" customHeight="1">
      <c r="C118" s="62" t="s">
        <v>240</v>
      </c>
      <c r="D118" s="9">
        <f>L104</f>
        <v>151.9</v>
      </c>
      <c r="E118" s="62" t="s">
        <v>246</v>
      </c>
      <c r="F118" s="9">
        <f>D112</f>
        <v>7.1</v>
      </c>
    </row>
    <row r="119" spans="2:8" ht="14.25" customHeight="1"/>
    <row r="120" spans="2:8" ht="14.25" customHeight="1" thickBot="1">
      <c r="C120" s="62" t="s">
        <v>240</v>
      </c>
      <c r="D120" s="43">
        <f>ROUND(D118/F118,1)</f>
        <v>21.4</v>
      </c>
      <c r="E120" s="68" t="s">
        <v>216</v>
      </c>
    </row>
    <row r="121" spans="2:8" ht="14.25" customHeight="1"/>
    <row r="122" spans="2:8" ht="14.25" customHeight="1"/>
    <row r="123" spans="2:8" ht="14.25" customHeight="1">
      <c r="B123" s="61" t="s">
        <v>247</v>
      </c>
    </row>
    <row r="124" spans="2:8" ht="14.25" customHeight="1"/>
    <row r="125" spans="2:8" ht="14.25" customHeight="1">
      <c r="C125" s="62" t="s">
        <v>248</v>
      </c>
      <c r="D125" s="69">
        <f>'[1]基本 (2)'!O20</f>
        <v>124.5</v>
      </c>
      <c r="E125" s="60" t="s">
        <v>249</v>
      </c>
      <c r="G125" s="62" t="s">
        <v>250</v>
      </c>
      <c r="H125" s="60" t="s">
        <v>251</v>
      </c>
    </row>
    <row r="126" spans="2:8" ht="14.25" customHeight="1"/>
    <row r="127" spans="2:8" ht="14.25" customHeight="1">
      <c r="B127" s="60" t="s">
        <v>252</v>
      </c>
    </row>
    <row r="128" spans="2:8" ht="14.25" customHeight="1"/>
    <row r="129" spans="2:11" ht="14.25" customHeight="1">
      <c r="C129" s="62" t="s">
        <v>253</v>
      </c>
      <c r="D129" s="60" t="s">
        <v>254</v>
      </c>
    </row>
    <row r="130" spans="2:11" ht="14.25" customHeight="1"/>
    <row r="131" spans="2:11" ht="14.25" customHeight="1">
      <c r="C131" s="62" t="s">
        <v>19</v>
      </c>
      <c r="D131" s="9">
        <f>D125</f>
        <v>124.5</v>
      </c>
      <c r="E131" s="62" t="s">
        <v>255</v>
      </c>
      <c r="F131" s="70">
        <v>2.5999999999999999E-2</v>
      </c>
      <c r="G131" s="62" t="s">
        <v>256</v>
      </c>
      <c r="H131" s="9">
        <f>D125</f>
        <v>124.5</v>
      </c>
      <c r="I131" s="62" t="s">
        <v>209</v>
      </c>
      <c r="J131" s="62">
        <v>77</v>
      </c>
      <c r="K131" s="60" t="s">
        <v>257</v>
      </c>
    </row>
    <row r="132" spans="2:11" ht="14.25" customHeight="1"/>
    <row r="133" spans="2:11" ht="14.25" customHeight="1">
      <c r="C133" s="62" t="s">
        <v>19</v>
      </c>
      <c r="D133" s="9">
        <f>ROUND(D131/(F131*(H131+J131)),1)</f>
        <v>23.8</v>
      </c>
      <c r="E133" s="60" t="s">
        <v>243</v>
      </c>
      <c r="F133" s="62"/>
      <c r="G133" s="11"/>
      <c r="I133" s="62"/>
      <c r="J133" s="67"/>
    </row>
    <row r="134" spans="2:11" ht="14.25" customHeight="1"/>
    <row r="135" spans="2:11" ht="14.25" customHeight="1">
      <c r="B135" s="60" t="s">
        <v>213</v>
      </c>
    </row>
    <row r="136" spans="2:11" ht="14.25" customHeight="1"/>
    <row r="137" spans="2:11" ht="14.25" customHeight="1">
      <c r="C137" s="62" t="s">
        <v>258</v>
      </c>
      <c r="D137" s="60" t="s">
        <v>259</v>
      </c>
    </row>
    <row r="138" spans="2:11" ht="14.25" customHeight="1"/>
    <row r="139" spans="2:11" ht="14.25" customHeight="1">
      <c r="C139" s="62" t="s">
        <v>19</v>
      </c>
      <c r="D139" s="9">
        <f>D125</f>
        <v>124.5</v>
      </c>
      <c r="E139" s="62" t="s">
        <v>123</v>
      </c>
      <c r="F139" s="9">
        <f>D133</f>
        <v>23.8</v>
      </c>
    </row>
    <row r="140" spans="2:11" ht="14.25" customHeight="1"/>
    <row r="141" spans="2:11" ht="14.25" customHeight="1" thickBot="1">
      <c r="C141" s="62" t="s">
        <v>19</v>
      </c>
      <c r="D141" s="43">
        <f>ROUND(D139/F139,1)</f>
        <v>5.2</v>
      </c>
      <c r="E141" s="68" t="s">
        <v>118</v>
      </c>
    </row>
    <row r="142" spans="2:11" ht="14.25" customHeight="1"/>
    <row r="143" spans="2:11" ht="14.25" customHeight="1"/>
    <row r="144" spans="2:11" ht="14.25" hidden="1" customHeight="1">
      <c r="B144" s="61" t="s">
        <v>260</v>
      </c>
    </row>
    <row r="145" spans="2:11" ht="14.25" hidden="1" customHeight="1"/>
    <row r="146" spans="2:11" ht="14.25" hidden="1" customHeight="1">
      <c r="B146" s="345" t="s">
        <v>261</v>
      </c>
      <c r="C146" s="345"/>
      <c r="D146" s="345"/>
      <c r="F146" s="71">
        <v>4</v>
      </c>
      <c r="G146" s="60" t="s">
        <v>262</v>
      </c>
    </row>
    <row r="147" spans="2:11" ht="14.25" hidden="1" customHeight="1"/>
    <row r="148" spans="2:11" ht="14.25" hidden="1" customHeight="1">
      <c r="B148" s="60" t="s">
        <v>263</v>
      </c>
    </row>
    <row r="149" spans="2:11" ht="14.25" hidden="1" customHeight="1"/>
    <row r="150" spans="2:11" ht="14.25" hidden="1" customHeight="1">
      <c r="C150" s="62" t="s">
        <v>264</v>
      </c>
      <c r="D150" s="60" t="s">
        <v>265</v>
      </c>
      <c r="G150" s="60" t="s">
        <v>266</v>
      </c>
    </row>
    <row r="151" spans="2:11" ht="14.25" hidden="1" customHeight="1"/>
    <row r="152" spans="2:11" ht="14.25" hidden="1" customHeight="1">
      <c r="C152" s="62" t="s">
        <v>240</v>
      </c>
      <c r="D152" s="62">
        <v>1.43</v>
      </c>
      <c r="E152" s="62" t="s">
        <v>242</v>
      </c>
      <c r="F152" s="62">
        <v>1</v>
      </c>
      <c r="G152" s="62" t="s">
        <v>267</v>
      </c>
      <c r="H152" s="62">
        <v>1.62</v>
      </c>
    </row>
    <row r="153" spans="2:11" ht="14.25" hidden="1" customHeight="1"/>
    <row r="154" spans="2:11" ht="14.25" hidden="1" customHeight="1">
      <c r="C154" s="62" t="s">
        <v>240</v>
      </c>
      <c r="D154" s="69">
        <f>ROUND(D152*F152+1.62,1)</f>
        <v>3.1</v>
      </c>
      <c r="E154" s="60" t="s">
        <v>268</v>
      </c>
    </row>
    <row r="155" spans="2:11" ht="14.25" hidden="1" customHeight="1"/>
    <row r="156" spans="2:11" ht="14.25" hidden="1" customHeight="1">
      <c r="C156" s="332" t="s">
        <v>269</v>
      </c>
      <c r="D156" s="332"/>
      <c r="E156" s="62" t="s">
        <v>270</v>
      </c>
      <c r="F156" s="69">
        <f>F146</f>
        <v>4</v>
      </c>
      <c r="G156" s="62" t="s">
        <v>242</v>
      </c>
      <c r="H156" s="9">
        <f>D154</f>
        <v>3.1</v>
      </c>
      <c r="I156" s="62" t="s">
        <v>240</v>
      </c>
      <c r="J156" s="9">
        <f>ROUND(F156*H156,1)</f>
        <v>12.4</v>
      </c>
      <c r="K156" s="60" t="s">
        <v>249</v>
      </c>
    </row>
    <row r="157" spans="2:11" ht="14.25" hidden="1" customHeight="1"/>
    <row r="158" spans="2:11" ht="14.25" hidden="1" customHeight="1">
      <c r="C158" s="332" t="s">
        <v>271</v>
      </c>
      <c r="D158" s="332"/>
      <c r="E158" s="62" t="s">
        <v>272</v>
      </c>
      <c r="F158" s="62">
        <v>2.5</v>
      </c>
      <c r="G158" s="62" t="s">
        <v>242</v>
      </c>
      <c r="H158" s="9">
        <f>J156</f>
        <v>12.4</v>
      </c>
      <c r="I158" s="62" t="s">
        <v>240</v>
      </c>
      <c r="J158" s="9">
        <f>ROUND(F158*H158,1)</f>
        <v>31</v>
      </c>
      <c r="K158" s="60" t="s">
        <v>249</v>
      </c>
    </row>
    <row r="159" spans="2:11" ht="14.25" hidden="1" customHeight="1"/>
    <row r="160" spans="2:11" ht="14.25" hidden="1" customHeight="1">
      <c r="B160" s="60" t="s">
        <v>273</v>
      </c>
    </row>
    <row r="161" spans="2:11" ht="14.25" hidden="1" customHeight="1"/>
    <row r="162" spans="2:11" ht="14.25" hidden="1" customHeight="1">
      <c r="C162" s="62" t="s">
        <v>274</v>
      </c>
      <c r="D162" s="60" t="s">
        <v>275</v>
      </c>
    </row>
    <row r="163" spans="2:11" ht="14.25" hidden="1" customHeight="1"/>
    <row r="164" spans="2:11" ht="14.25" hidden="1" customHeight="1">
      <c r="C164" s="62" t="s">
        <v>276</v>
      </c>
      <c r="D164" s="9">
        <f>J156</f>
        <v>12.4</v>
      </c>
      <c r="E164" s="62" t="s">
        <v>241</v>
      </c>
      <c r="F164" s="62">
        <v>0.13</v>
      </c>
      <c r="G164" s="62" t="s">
        <v>242</v>
      </c>
      <c r="H164" s="9">
        <f>J156</f>
        <v>12.4</v>
      </c>
      <c r="I164" s="62" t="s">
        <v>209</v>
      </c>
      <c r="J164" s="11">
        <v>1.6</v>
      </c>
      <c r="K164" s="60" t="s">
        <v>210</v>
      </c>
    </row>
    <row r="165" spans="2:11" ht="14.25" hidden="1" customHeight="1"/>
    <row r="166" spans="2:11" ht="14.25" hidden="1" customHeight="1">
      <c r="C166" s="62" t="s">
        <v>240</v>
      </c>
      <c r="D166" s="69">
        <f>ROUND(D164/(F164*H164+J164),1)</f>
        <v>3.9</v>
      </c>
      <c r="E166" s="60" t="s">
        <v>243</v>
      </c>
      <c r="F166" s="62"/>
      <c r="G166" s="11"/>
      <c r="I166" s="62"/>
      <c r="J166" s="67"/>
    </row>
    <row r="167" spans="2:11" ht="14.25" hidden="1" customHeight="1"/>
    <row r="168" spans="2:11" ht="14.25" hidden="1" customHeight="1">
      <c r="B168" s="60" t="s">
        <v>277</v>
      </c>
    </row>
    <row r="169" spans="2:11" ht="14.25" hidden="1" customHeight="1"/>
    <row r="170" spans="2:11" ht="14.25" hidden="1" customHeight="1">
      <c r="C170" s="62" t="s">
        <v>278</v>
      </c>
      <c r="D170" s="60" t="s">
        <v>279</v>
      </c>
    </row>
    <row r="171" spans="2:11" ht="14.25" hidden="1" customHeight="1"/>
    <row r="172" spans="2:11" ht="14.25" hidden="1" customHeight="1">
      <c r="C172" s="62" t="s">
        <v>240</v>
      </c>
      <c r="D172" s="9">
        <f>J156</f>
        <v>12.4</v>
      </c>
      <c r="E172" s="62" t="s">
        <v>246</v>
      </c>
      <c r="F172" s="69">
        <f>D166</f>
        <v>3.9</v>
      </c>
    </row>
    <row r="173" spans="2:11" ht="14.25" hidden="1" customHeight="1"/>
    <row r="174" spans="2:11" ht="14.25" hidden="1" customHeight="1">
      <c r="C174" s="62" t="s">
        <v>276</v>
      </c>
      <c r="D174" s="69">
        <f>ROUND(D172/F172,1)</f>
        <v>3.2</v>
      </c>
      <c r="E174" s="60" t="s">
        <v>216</v>
      </c>
    </row>
    <row r="175" spans="2:11" ht="14.25" hidden="1" customHeight="1"/>
    <row r="176" spans="2:11" ht="14.25" hidden="1" customHeight="1">
      <c r="B176" s="60" t="s">
        <v>280</v>
      </c>
    </row>
    <row r="177" spans="2:13" ht="14.25" hidden="1" customHeight="1"/>
    <row r="178" spans="2:13" ht="14.25" hidden="1" customHeight="1">
      <c r="C178" s="62" t="s">
        <v>281</v>
      </c>
      <c r="D178" s="60" t="s">
        <v>282</v>
      </c>
    </row>
    <row r="179" spans="2:13" ht="14.25" hidden="1" customHeight="1"/>
    <row r="180" spans="2:13" ht="14.25" hidden="1" customHeight="1">
      <c r="C180" s="62" t="s">
        <v>240</v>
      </c>
      <c r="D180" s="11">
        <v>2</v>
      </c>
      <c r="E180" s="62" t="s">
        <v>283</v>
      </c>
      <c r="F180" s="9">
        <f>J158</f>
        <v>31</v>
      </c>
      <c r="G180" s="62" t="s">
        <v>241</v>
      </c>
      <c r="H180" s="62">
        <v>0.13</v>
      </c>
      <c r="I180" s="62" t="s">
        <v>283</v>
      </c>
      <c r="J180" s="9">
        <f>J158</f>
        <v>31</v>
      </c>
      <c r="K180" s="62" t="s">
        <v>267</v>
      </c>
      <c r="L180" s="11">
        <v>1.6</v>
      </c>
      <c r="M180" s="60" t="s">
        <v>284</v>
      </c>
    </row>
    <row r="181" spans="2:13" ht="14.25" hidden="1" customHeight="1"/>
    <row r="182" spans="2:13" ht="14.25" hidden="1" customHeight="1">
      <c r="C182" s="62" t="s">
        <v>240</v>
      </c>
      <c r="D182" s="69">
        <f>ROUND(D180*(F180/(H180*J180+1.6)),1)</f>
        <v>11</v>
      </c>
      <c r="E182" s="60" t="s">
        <v>243</v>
      </c>
      <c r="F182" s="62"/>
      <c r="G182" s="11"/>
      <c r="I182" s="62"/>
      <c r="J182" s="67"/>
    </row>
    <row r="183" spans="2:13" ht="14.25" hidden="1" customHeight="1"/>
    <row r="184" spans="2:13" ht="14.25" hidden="1" customHeight="1">
      <c r="B184" s="60" t="s">
        <v>285</v>
      </c>
    </row>
    <row r="185" spans="2:13" ht="14.25" hidden="1" customHeight="1"/>
    <row r="186" spans="2:13" ht="14.25" hidden="1" customHeight="1">
      <c r="C186" s="62" t="s">
        <v>286</v>
      </c>
      <c r="D186" s="60" t="s">
        <v>287</v>
      </c>
    </row>
    <row r="187" spans="2:13" ht="14.25" hidden="1" customHeight="1"/>
    <row r="188" spans="2:13" ht="14.25" hidden="1" customHeight="1">
      <c r="C188" s="62" t="s">
        <v>276</v>
      </c>
      <c r="D188" s="9">
        <f>J158</f>
        <v>31</v>
      </c>
      <c r="E188" s="62" t="s">
        <v>288</v>
      </c>
      <c r="F188" s="69">
        <f>D182</f>
        <v>11</v>
      </c>
    </row>
    <row r="189" spans="2:13" ht="14.25" hidden="1" customHeight="1"/>
    <row r="190" spans="2:13" ht="14.25" hidden="1" customHeight="1">
      <c r="C190" s="62" t="s">
        <v>276</v>
      </c>
      <c r="D190" s="69">
        <f>ROUND(D188/F188,1)</f>
        <v>2.8</v>
      </c>
      <c r="E190" s="60" t="s">
        <v>216</v>
      </c>
    </row>
    <row r="191" spans="2:13" ht="14.25" hidden="1" customHeight="1"/>
    <row r="192" spans="2:13" ht="14.25" hidden="1" customHeight="1">
      <c r="B192" s="60" t="s">
        <v>289</v>
      </c>
    </row>
    <row r="193" spans="2:7" ht="14.25" hidden="1" customHeight="1"/>
    <row r="194" spans="2:7" ht="14.25" hidden="1" customHeight="1">
      <c r="C194" s="62" t="s">
        <v>290</v>
      </c>
      <c r="D194" s="60" t="s">
        <v>291</v>
      </c>
    </row>
    <row r="195" spans="2:7" ht="14.25" hidden="1" customHeight="1"/>
    <row r="196" spans="2:7" ht="14.25" hidden="1" customHeight="1">
      <c r="C196" s="62" t="s">
        <v>276</v>
      </c>
      <c r="D196" s="69">
        <f>D174</f>
        <v>3.2</v>
      </c>
      <c r="E196" s="62" t="s">
        <v>267</v>
      </c>
      <c r="F196" s="69">
        <f>D190</f>
        <v>2.8</v>
      </c>
    </row>
    <row r="197" spans="2:7" ht="14.25" hidden="1" customHeight="1"/>
    <row r="198" spans="2:7" ht="14.25" hidden="1" customHeight="1">
      <c r="C198" s="62" t="s">
        <v>240</v>
      </c>
      <c r="D198" s="72">
        <f>D196+F196</f>
        <v>6</v>
      </c>
      <c r="E198" s="68" t="s">
        <v>216</v>
      </c>
    </row>
    <row r="199" spans="2:7" ht="14.25" hidden="1" customHeight="1"/>
    <row r="200" spans="2:7" ht="14.25" hidden="1" customHeight="1"/>
    <row r="201" spans="2:7" ht="14.25" customHeight="1">
      <c r="B201" s="61" t="s">
        <v>292</v>
      </c>
    </row>
    <row r="202" spans="2:7" ht="14.25" customHeight="1"/>
    <row r="203" spans="2:7" ht="14.25" customHeight="1">
      <c r="B203" s="60" t="s">
        <v>293</v>
      </c>
      <c r="E203" s="62" t="s">
        <v>294</v>
      </c>
      <c r="F203" s="69">
        <f>'[1]基本 (2)'!K16+'[1]基本 (2)'!K17</f>
        <v>40</v>
      </c>
      <c r="G203" s="60" t="s">
        <v>295</v>
      </c>
    </row>
    <row r="204" spans="2:7" ht="14.25" customHeight="1"/>
    <row r="205" spans="2:7" ht="14.25" customHeight="1">
      <c r="B205" s="60" t="s">
        <v>296</v>
      </c>
      <c r="E205" s="62" t="s">
        <v>297</v>
      </c>
      <c r="F205" s="9">
        <f>'[1]基本 (2)'!O35</f>
        <v>290.7</v>
      </c>
      <c r="G205" s="60" t="s">
        <v>20</v>
      </c>
    </row>
    <row r="206" spans="2:7" ht="14.25" customHeight="1"/>
    <row r="207" spans="2:7" ht="14.25" customHeight="1">
      <c r="B207" s="60" t="s">
        <v>298</v>
      </c>
      <c r="F207" s="9">
        <f>'[1]基本 (2)'!G29</f>
        <v>247.1</v>
      </c>
      <c r="G207" s="60" t="s">
        <v>20</v>
      </c>
    </row>
    <row r="208" spans="2:7" ht="14.25" customHeight="1"/>
    <row r="209" spans="2:14" ht="14.25" customHeight="1">
      <c r="B209" s="60" t="s">
        <v>299</v>
      </c>
      <c r="F209" s="9">
        <f>F207</f>
        <v>247.1</v>
      </c>
      <c r="G209" s="62" t="s">
        <v>123</v>
      </c>
      <c r="H209" s="73">
        <f>F203</f>
        <v>40</v>
      </c>
      <c r="I209" s="62" t="s">
        <v>19</v>
      </c>
      <c r="J209" s="69">
        <f>ROUND(F209/H209,1)</f>
        <v>6.2</v>
      </c>
      <c r="K209" s="60" t="s">
        <v>300</v>
      </c>
      <c r="L209" s="62" t="s">
        <v>15</v>
      </c>
      <c r="M209" s="62" t="s">
        <v>301</v>
      </c>
      <c r="N209" s="9">
        <f>IF(J209&lt;=10,1,IF(J209&lt;=15,1.2,IF(J209&lt;=20,1.5,1.9)))</f>
        <v>1</v>
      </c>
    </row>
    <row r="210" spans="2:14" ht="14.25" customHeight="1"/>
    <row r="211" spans="2:14" ht="14.25" customHeight="1">
      <c r="B211" s="60" t="s">
        <v>302</v>
      </c>
    </row>
    <row r="212" spans="2:14" ht="14.25" customHeight="1"/>
    <row r="213" spans="2:14" ht="14.25" customHeight="1">
      <c r="C213" s="62" t="s">
        <v>303</v>
      </c>
      <c r="D213" s="66" t="s">
        <v>304</v>
      </c>
      <c r="I213" s="60" t="s">
        <v>305</v>
      </c>
      <c r="J213" s="62">
        <v>9</v>
      </c>
      <c r="K213" s="62" t="s">
        <v>306</v>
      </c>
      <c r="L213" s="62" t="s">
        <v>307</v>
      </c>
      <c r="M213" s="62" t="s">
        <v>306</v>
      </c>
      <c r="N213" s="62">
        <v>45</v>
      </c>
    </row>
    <row r="214" spans="2:14" ht="14.25" customHeight="1"/>
    <row r="215" spans="2:14" ht="14.25" customHeight="1">
      <c r="C215" s="62" t="s">
        <v>19</v>
      </c>
      <c r="D215" s="9">
        <f>F205</f>
        <v>290.7</v>
      </c>
      <c r="E215" s="62" t="s">
        <v>255</v>
      </c>
      <c r="F215" s="74">
        <v>0.24</v>
      </c>
      <c r="G215" s="62" t="s">
        <v>242</v>
      </c>
      <c r="H215" s="9">
        <f>N209</f>
        <v>1</v>
      </c>
      <c r="I215" s="62" t="s">
        <v>256</v>
      </c>
      <c r="J215" s="69">
        <f>F203</f>
        <v>40</v>
      </c>
      <c r="K215" s="62" t="s">
        <v>209</v>
      </c>
      <c r="L215" s="62">
        <v>12</v>
      </c>
      <c r="M215" s="60" t="s">
        <v>308</v>
      </c>
    </row>
    <row r="216" spans="2:14" ht="14.25" customHeight="1"/>
    <row r="217" spans="2:14" ht="14.25" customHeight="1">
      <c r="C217" s="62" t="s">
        <v>19</v>
      </c>
      <c r="D217" s="9">
        <f>ROUND(D215/(F215*H215*(J215+L215)),1)</f>
        <v>23.3</v>
      </c>
      <c r="E217" s="60" t="s">
        <v>309</v>
      </c>
      <c r="F217" s="62"/>
      <c r="G217" s="11"/>
      <c r="I217" s="62"/>
      <c r="J217" s="67"/>
      <c r="L217" s="62"/>
      <c r="M217" s="62"/>
    </row>
    <row r="218" spans="2:14" ht="14.25" customHeight="1"/>
    <row r="219" spans="2:14" ht="14.25" customHeight="1">
      <c r="B219" s="60" t="s">
        <v>213</v>
      </c>
    </row>
    <row r="220" spans="2:14" ht="14.25" customHeight="1"/>
    <row r="221" spans="2:14" ht="14.25" customHeight="1">
      <c r="C221" s="62" t="s">
        <v>290</v>
      </c>
      <c r="D221" s="60" t="s">
        <v>310</v>
      </c>
    </row>
    <row r="222" spans="2:14" ht="14.25" customHeight="1"/>
    <row r="223" spans="2:14" ht="14.25" customHeight="1">
      <c r="C223" s="62" t="s">
        <v>19</v>
      </c>
      <c r="D223" s="9">
        <f>F205</f>
        <v>290.7</v>
      </c>
      <c r="E223" s="62" t="s">
        <v>123</v>
      </c>
      <c r="F223" s="9">
        <f>D217</f>
        <v>23.3</v>
      </c>
    </row>
    <row r="224" spans="2:14" ht="14.25" customHeight="1"/>
    <row r="225" spans="2:12" ht="14.25" customHeight="1" thickBot="1">
      <c r="C225" s="62" t="s">
        <v>19</v>
      </c>
      <c r="D225" s="72">
        <f>ROUND(D223/F223,1)</f>
        <v>12.5</v>
      </c>
      <c r="E225" s="68" t="s">
        <v>118</v>
      </c>
    </row>
    <row r="226" spans="2:12" ht="14.25" customHeight="1"/>
    <row r="227" spans="2:12" ht="14.25" customHeight="1"/>
    <row r="228" spans="2:12" ht="14.25" hidden="1" customHeight="1">
      <c r="B228" s="61" t="s">
        <v>311</v>
      </c>
    </row>
    <row r="229" spans="2:12" ht="14.25" hidden="1" customHeight="1"/>
    <row r="230" spans="2:12" ht="14.25" hidden="1" customHeight="1">
      <c r="B230" s="60" t="s">
        <v>312</v>
      </c>
      <c r="E230" s="62" t="s">
        <v>313</v>
      </c>
      <c r="F230" s="60" t="s">
        <v>314</v>
      </c>
    </row>
    <row r="231" spans="2:12" ht="14.25" hidden="1" customHeight="1">
      <c r="E231" s="62"/>
      <c r="F231" s="11"/>
    </row>
    <row r="232" spans="2:12" ht="14.25" hidden="1" customHeight="1">
      <c r="E232" s="75" t="s">
        <v>315</v>
      </c>
      <c r="F232" s="40">
        <f>'[1]基本 (2)'!L12</f>
        <v>0.57999999999999996</v>
      </c>
      <c r="G232" s="62" t="s">
        <v>86</v>
      </c>
      <c r="H232" s="40">
        <f>'[1]基本 (2)'!L12</f>
        <v>0.57999999999999996</v>
      </c>
      <c r="I232" s="62" t="s">
        <v>117</v>
      </c>
      <c r="J232" s="69">
        <f>'[1]基本 (2)'!K14</f>
        <v>50</v>
      </c>
      <c r="K232" s="62"/>
      <c r="L232" s="62"/>
    </row>
    <row r="233" spans="2:12" ht="14.25" hidden="1" customHeight="1">
      <c r="E233" s="62"/>
      <c r="F233" s="11"/>
    </row>
    <row r="234" spans="2:12" ht="14.25" hidden="1" customHeight="1">
      <c r="E234" s="62" t="s">
        <v>240</v>
      </c>
      <c r="F234" s="9">
        <f>(F232+H232)*J232</f>
        <v>57.999999999999993</v>
      </c>
      <c r="G234" s="60" t="s">
        <v>129</v>
      </c>
      <c r="H234" s="62" t="s">
        <v>133</v>
      </c>
      <c r="I234" s="62" t="s">
        <v>316</v>
      </c>
      <c r="J234" s="76" t="s">
        <v>317</v>
      </c>
    </row>
    <row r="235" spans="2:12" ht="14.25" hidden="1" customHeight="1">
      <c r="E235" s="62"/>
      <c r="F235" s="11"/>
      <c r="I235" s="62" t="s">
        <v>240</v>
      </c>
      <c r="J235" s="77">
        <f>ROUND(F234^0.1221,3)</f>
        <v>1.6419999999999999</v>
      </c>
      <c r="K235" s="60" t="s">
        <v>318</v>
      </c>
    </row>
    <row r="236" spans="2:12" ht="14.25" hidden="1" customHeight="1">
      <c r="B236" s="60" t="s">
        <v>319</v>
      </c>
      <c r="E236" s="62" t="s">
        <v>320</v>
      </c>
      <c r="F236" s="69">
        <f>'[1]基本 (2)'!K14</f>
        <v>50</v>
      </c>
    </row>
    <row r="237" spans="2:12" ht="14.25" hidden="1" customHeight="1"/>
    <row r="238" spans="2:12" ht="14.25" hidden="1" customHeight="1">
      <c r="B238" s="60" t="s">
        <v>321</v>
      </c>
    </row>
    <row r="239" spans="2:12" ht="14.25" hidden="1" customHeight="1"/>
    <row r="240" spans="2:12" ht="14.25" hidden="1" customHeight="1">
      <c r="C240" s="338"/>
      <c r="D240" s="338"/>
      <c r="E240" s="346" t="s">
        <v>322</v>
      </c>
      <c r="F240" s="346"/>
      <c r="G240" s="346" t="s">
        <v>323</v>
      </c>
      <c r="H240" s="346"/>
    </row>
    <row r="241" spans="2:11" ht="14.25" hidden="1" customHeight="1">
      <c r="C241" s="344" t="s">
        <v>324</v>
      </c>
      <c r="D241" s="344"/>
      <c r="E241" s="343">
        <f>'[1]基本 (2)'!L12*1000</f>
        <v>580</v>
      </c>
      <c r="F241" s="343"/>
      <c r="G241" s="341"/>
      <c r="H241" s="341"/>
    </row>
    <row r="242" spans="2:11" ht="14.25" hidden="1" customHeight="1">
      <c r="C242" s="344" t="s">
        <v>325</v>
      </c>
      <c r="D242" s="344"/>
      <c r="E242" s="343">
        <f>'[1]基本 (2)'!H12*1000</f>
        <v>2300</v>
      </c>
      <c r="F242" s="343"/>
      <c r="G242" s="341"/>
      <c r="H242" s="341"/>
    </row>
    <row r="243" spans="2:11" ht="14.25" hidden="1" customHeight="1">
      <c r="C243" s="338" t="s">
        <v>326</v>
      </c>
      <c r="D243" s="338"/>
      <c r="E243" s="343">
        <f>'[1]基本 (2)'!L12*1000</f>
        <v>580</v>
      </c>
      <c r="F243" s="343"/>
      <c r="G243" s="341"/>
      <c r="H243" s="341"/>
    </row>
    <row r="244" spans="2:11" ht="14.25" hidden="1" customHeight="1">
      <c r="C244" s="62"/>
      <c r="F244" s="62"/>
      <c r="G244" s="62"/>
    </row>
    <row r="245" spans="2:11" ht="14.25" hidden="1" customHeight="1">
      <c r="C245" s="62" t="s">
        <v>327</v>
      </c>
      <c r="D245" s="40">
        <f>ROUND(((E241*G241+E243*G243)*F236)/((E241+E243)*F236),2)</f>
        <v>0</v>
      </c>
      <c r="E245" s="60" t="s">
        <v>328</v>
      </c>
      <c r="F245" s="62" t="s">
        <v>133</v>
      </c>
      <c r="G245" s="62" t="s">
        <v>329</v>
      </c>
      <c r="H245" s="78" t="s">
        <v>330</v>
      </c>
    </row>
    <row r="246" spans="2:11" ht="14.25" hidden="1" customHeight="1">
      <c r="G246" s="62" t="s">
        <v>19</v>
      </c>
      <c r="H246" s="77" t="e">
        <f>ROUND(213.8*D245^-1.5809,3)</f>
        <v>#DIV/0!</v>
      </c>
      <c r="I246" s="60" t="s">
        <v>331</v>
      </c>
    </row>
    <row r="247" spans="2:11" ht="14.25" hidden="1" customHeight="1">
      <c r="B247" s="60" t="s">
        <v>332</v>
      </c>
    </row>
    <row r="248" spans="2:11" ht="14.25" hidden="1" customHeight="1"/>
    <row r="249" spans="2:11" ht="14.25" hidden="1" customHeight="1">
      <c r="C249" s="62" t="s">
        <v>333</v>
      </c>
      <c r="D249" s="60" t="s">
        <v>334</v>
      </c>
      <c r="E249" s="62"/>
      <c r="F249" s="62"/>
      <c r="G249" s="62"/>
      <c r="H249" s="62"/>
    </row>
    <row r="250" spans="2:11" ht="14.25" hidden="1" customHeight="1">
      <c r="C250" s="62"/>
      <c r="E250" s="62"/>
      <c r="F250" s="62"/>
      <c r="G250" s="62"/>
      <c r="H250" s="62"/>
    </row>
    <row r="251" spans="2:11" ht="14.25" hidden="1" customHeight="1">
      <c r="C251" s="62" t="s">
        <v>240</v>
      </c>
      <c r="D251" s="62">
        <v>1.42</v>
      </c>
      <c r="E251" s="62" t="s">
        <v>242</v>
      </c>
      <c r="F251" s="77">
        <f>J235</f>
        <v>1.6419999999999999</v>
      </c>
      <c r="G251" s="62" t="s">
        <v>242</v>
      </c>
      <c r="H251" s="77" t="e">
        <f>H246</f>
        <v>#DIV/0!</v>
      </c>
    </row>
    <row r="252" spans="2:11" ht="14.25" hidden="1" customHeight="1"/>
    <row r="253" spans="2:11" ht="14.25" hidden="1" customHeight="1">
      <c r="C253" s="62" t="s">
        <v>240</v>
      </c>
      <c r="D253" s="40" t="e">
        <f>ROUND(D251*F251*H251,2)</f>
        <v>#DIV/0!</v>
      </c>
      <c r="E253" s="79" t="s">
        <v>335</v>
      </c>
      <c r="F253" s="62" t="s">
        <v>133</v>
      </c>
      <c r="G253" s="40" t="e">
        <f>ROUND(D253*J253,2)</f>
        <v>#DIV/0!</v>
      </c>
      <c r="H253" s="60" t="s">
        <v>336</v>
      </c>
      <c r="I253" s="62" t="s">
        <v>337</v>
      </c>
      <c r="J253" s="80">
        <v>2</v>
      </c>
      <c r="K253" s="60" t="s">
        <v>338</v>
      </c>
    </row>
    <row r="254" spans="2:11" ht="14.25" hidden="1" customHeight="1"/>
    <row r="255" spans="2:11" ht="14.25" hidden="1" customHeight="1">
      <c r="B255" s="60" t="s">
        <v>289</v>
      </c>
    </row>
    <row r="256" spans="2:11" ht="14.25" hidden="1" customHeight="1"/>
    <row r="257" spans="2:10" ht="14.25" hidden="1" customHeight="1">
      <c r="C257" s="62" t="s">
        <v>339</v>
      </c>
      <c r="D257" s="60" t="s">
        <v>340</v>
      </c>
    </row>
    <row r="258" spans="2:10" ht="14.25" hidden="1" customHeight="1"/>
    <row r="259" spans="2:10" ht="14.25" hidden="1" customHeight="1">
      <c r="C259" s="62" t="s">
        <v>240</v>
      </c>
      <c r="D259" s="9">
        <f>F234</f>
        <v>57.999999999999993</v>
      </c>
      <c r="E259" s="62" t="s">
        <v>246</v>
      </c>
      <c r="F259" s="40" t="e">
        <f>G253</f>
        <v>#DIV/0!</v>
      </c>
    </row>
    <row r="260" spans="2:10" ht="14.25" hidden="1" customHeight="1"/>
    <row r="261" spans="2:10" ht="14.25" hidden="1" customHeight="1">
      <c r="C261" s="62" t="s">
        <v>240</v>
      </c>
      <c r="D261" s="72" t="e">
        <f>ROUND(D259/F259,1)</f>
        <v>#DIV/0!</v>
      </c>
      <c r="E261" s="68" t="s">
        <v>216</v>
      </c>
    </row>
    <row r="262" spans="2:10" ht="14.25" hidden="1" customHeight="1"/>
    <row r="263" spans="2:10" ht="14.25" hidden="1" customHeight="1"/>
    <row r="264" spans="2:10" ht="14.25" hidden="1" customHeight="1">
      <c r="B264" s="61" t="s">
        <v>341</v>
      </c>
    </row>
    <row r="265" spans="2:10" ht="14.25" hidden="1" customHeight="1"/>
    <row r="266" spans="2:10" ht="14.25" hidden="1" customHeight="1">
      <c r="B266" s="60" t="s">
        <v>332</v>
      </c>
    </row>
    <row r="267" spans="2:10" ht="14.25" hidden="1" customHeight="1"/>
    <row r="268" spans="2:10" ht="14.25" hidden="1" customHeight="1">
      <c r="C268" s="62" t="s">
        <v>342</v>
      </c>
      <c r="D268" s="62">
        <v>2</v>
      </c>
      <c r="E268" s="79" t="s">
        <v>343</v>
      </c>
      <c r="F268" s="62"/>
      <c r="G268" s="11"/>
      <c r="H268" s="79"/>
      <c r="I268" s="62"/>
      <c r="J268" s="67"/>
    </row>
    <row r="269" spans="2:10" ht="14.25" hidden="1" customHeight="1"/>
    <row r="270" spans="2:10" ht="14.25" hidden="1" customHeight="1">
      <c r="B270" s="60" t="s">
        <v>289</v>
      </c>
    </row>
    <row r="271" spans="2:10" ht="14.25" hidden="1" customHeight="1"/>
    <row r="272" spans="2:10" ht="14.25" hidden="1" customHeight="1">
      <c r="C272" s="62" t="s">
        <v>344</v>
      </c>
      <c r="D272" s="60" t="s">
        <v>345</v>
      </c>
    </row>
    <row r="273" spans="2:10" ht="14.25" hidden="1" customHeight="1">
      <c r="C273" s="62"/>
    </row>
    <row r="274" spans="2:10" ht="14.25" hidden="1" customHeight="1">
      <c r="C274" s="62" t="s">
        <v>240</v>
      </c>
      <c r="D274" s="69">
        <f>F236</f>
        <v>50</v>
      </c>
      <c r="E274" s="62" t="s">
        <v>246</v>
      </c>
      <c r="F274" s="69">
        <f>D268</f>
        <v>2</v>
      </c>
    </row>
    <row r="275" spans="2:10" ht="14.25" hidden="1" customHeight="1">
      <c r="C275" s="62"/>
    </row>
    <row r="276" spans="2:10" ht="14.25" hidden="1" customHeight="1">
      <c r="C276" s="62" t="s">
        <v>240</v>
      </c>
      <c r="D276" s="43">
        <f>ROUND(D274/F274,1)</f>
        <v>25</v>
      </c>
      <c r="E276" s="68" t="s">
        <v>216</v>
      </c>
    </row>
    <row r="277" spans="2:10" ht="14.25" hidden="1" customHeight="1"/>
    <row r="278" spans="2:10" ht="14.25" hidden="1" customHeight="1"/>
    <row r="279" spans="2:10" ht="14.25" customHeight="1">
      <c r="B279" s="61" t="s">
        <v>346</v>
      </c>
    </row>
    <row r="280" spans="2:10" ht="14.25" customHeight="1"/>
    <row r="281" spans="2:10" ht="14.25" customHeight="1">
      <c r="B281" s="60" t="s">
        <v>347</v>
      </c>
      <c r="E281" s="62" t="s">
        <v>348</v>
      </c>
      <c r="F281" s="69">
        <f>'[1]基本 (2)'!D14</f>
        <v>20</v>
      </c>
      <c r="G281" s="60" t="s">
        <v>22</v>
      </c>
    </row>
    <row r="282" spans="2:10" ht="14.25" customHeight="1"/>
    <row r="283" spans="2:10" ht="14.25" customHeight="1">
      <c r="B283" s="60" t="s">
        <v>349</v>
      </c>
      <c r="F283" s="81">
        <v>0.95</v>
      </c>
      <c r="G283" s="60" t="s">
        <v>249</v>
      </c>
      <c r="H283" s="76"/>
      <c r="I283" s="76"/>
      <c r="J283" s="82"/>
    </row>
    <row r="284" spans="2:10" ht="14.25" customHeight="1"/>
    <row r="285" spans="2:10" ht="14.25" customHeight="1">
      <c r="B285" s="60" t="s">
        <v>204</v>
      </c>
    </row>
    <row r="286" spans="2:10" ht="14.25" customHeight="1"/>
    <row r="287" spans="2:10" ht="14.25" customHeight="1">
      <c r="C287" s="62" t="s">
        <v>350</v>
      </c>
      <c r="D287" s="66" t="s">
        <v>351</v>
      </c>
      <c r="E287" s="66"/>
      <c r="F287" s="62"/>
      <c r="G287" s="11"/>
      <c r="I287" s="62"/>
      <c r="J287" s="67"/>
    </row>
    <row r="288" spans="2:10" ht="14.25" customHeight="1"/>
    <row r="289" spans="2:13" ht="14.25" customHeight="1">
      <c r="C289" s="62" t="s">
        <v>276</v>
      </c>
      <c r="D289" s="62">
        <v>1</v>
      </c>
      <c r="E289" s="62" t="s">
        <v>241</v>
      </c>
      <c r="F289" s="70">
        <v>8.2000000000000003E-2</v>
      </c>
      <c r="G289" s="62" t="s">
        <v>242</v>
      </c>
      <c r="H289" s="9">
        <f>F283</f>
        <v>0.95</v>
      </c>
      <c r="I289" s="62" t="s">
        <v>209</v>
      </c>
      <c r="J289" s="70">
        <v>0.32400000000000001</v>
      </c>
      <c r="K289" s="76" t="s">
        <v>284</v>
      </c>
      <c r="L289" s="76"/>
      <c r="M289" s="76"/>
    </row>
    <row r="290" spans="2:13" ht="14.25" customHeight="1"/>
    <row r="291" spans="2:13" ht="14.25" customHeight="1">
      <c r="C291" s="62" t="s">
        <v>240</v>
      </c>
      <c r="D291" s="69">
        <f>ROUND(D289/(F289*H289+J289),1)</f>
        <v>2.5</v>
      </c>
      <c r="E291" s="60" t="s">
        <v>352</v>
      </c>
      <c r="F291" s="62"/>
      <c r="G291" s="11"/>
      <c r="I291" s="62"/>
      <c r="J291" s="67"/>
    </row>
    <row r="292" spans="2:13" ht="14.25" customHeight="1"/>
    <row r="293" spans="2:13" ht="14.25" customHeight="1">
      <c r="B293" s="60" t="s">
        <v>213</v>
      </c>
    </row>
    <row r="294" spans="2:13" ht="14.25" customHeight="1"/>
    <row r="295" spans="2:13" ht="14.25" customHeight="1">
      <c r="C295" s="62" t="s">
        <v>339</v>
      </c>
      <c r="D295" s="60" t="s">
        <v>353</v>
      </c>
    </row>
    <row r="296" spans="2:13" ht="14.25" customHeight="1"/>
    <row r="297" spans="2:13" ht="14.25" customHeight="1">
      <c r="C297" s="62" t="s">
        <v>19</v>
      </c>
      <c r="D297" s="69">
        <f>F281</f>
        <v>20</v>
      </c>
      <c r="E297" s="62" t="s">
        <v>123</v>
      </c>
      <c r="F297" s="69">
        <f>D291</f>
        <v>2.5</v>
      </c>
    </row>
    <row r="298" spans="2:13" ht="14.25" customHeight="1"/>
    <row r="299" spans="2:13" ht="14.25" customHeight="1" thickBot="1">
      <c r="C299" s="62" t="s">
        <v>19</v>
      </c>
      <c r="D299" s="72">
        <f>ROUND(D297/F297,1)</f>
        <v>8</v>
      </c>
      <c r="E299" s="68" t="s">
        <v>118</v>
      </c>
    </row>
    <row r="300" spans="2:13" ht="14.25" customHeight="1"/>
    <row r="301" spans="2:13" ht="14.25" customHeight="1"/>
    <row r="302" spans="2:13" ht="14.25" customHeight="1">
      <c r="B302" s="61" t="s">
        <v>354</v>
      </c>
    </row>
    <row r="303" spans="2:13" ht="14.25" customHeight="1"/>
    <row r="304" spans="2:13" ht="14.25" customHeight="1">
      <c r="B304" s="60" t="s">
        <v>355</v>
      </c>
      <c r="F304" s="62" t="s">
        <v>42</v>
      </c>
      <c r="G304" s="69">
        <f>'[1]基本 (2)'!I40</f>
        <v>13490</v>
      </c>
      <c r="H304" s="60" t="s">
        <v>9</v>
      </c>
    </row>
    <row r="305" spans="2:13" ht="14.25" customHeight="1"/>
    <row r="306" spans="2:13" ht="14.25" customHeight="1">
      <c r="B306" s="60" t="s">
        <v>204</v>
      </c>
    </row>
    <row r="307" spans="2:13" ht="14.25" customHeight="1"/>
    <row r="308" spans="2:13" ht="14.25" customHeight="1">
      <c r="C308" s="60" t="s">
        <v>356</v>
      </c>
      <c r="D308" s="60" t="s">
        <v>357</v>
      </c>
    </row>
    <row r="309" spans="2:13" ht="14.25" customHeight="1"/>
    <row r="310" spans="2:13" ht="14.25" customHeight="1">
      <c r="C310" s="62" t="s">
        <v>19</v>
      </c>
      <c r="D310" s="69">
        <f>G304</f>
        <v>13490</v>
      </c>
      <c r="E310" s="62" t="s">
        <v>358</v>
      </c>
      <c r="F310" s="62">
        <v>0.41</v>
      </c>
      <c r="G310" s="62" t="s">
        <v>242</v>
      </c>
      <c r="H310" s="69">
        <f>G304</f>
        <v>13490</v>
      </c>
      <c r="I310" s="62" t="s">
        <v>246</v>
      </c>
      <c r="J310" s="62">
        <v>1000</v>
      </c>
      <c r="K310" s="62" t="s">
        <v>267</v>
      </c>
      <c r="L310" s="62">
        <v>2.13</v>
      </c>
      <c r="M310" s="60" t="s">
        <v>284</v>
      </c>
    </row>
    <row r="311" spans="2:13" ht="14.25" customHeight="1"/>
    <row r="312" spans="2:13" ht="14.25" customHeight="1">
      <c r="C312" s="62" t="s">
        <v>19</v>
      </c>
      <c r="D312" s="69">
        <f>ROUND(G304/(F310*G304/1000+L310),-1)</f>
        <v>1760</v>
      </c>
      <c r="E312" s="60" t="s">
        <v>359</v>
      </c>
      <c r="F312" s="62" t="s">
        <v>15</v>
      </c>
      <c r="G312" s="67">
        <v>1670</v>
      </c>
      <c r="H312" s="60" t="s">
        <v>360</v>
      </c>
      <c r="I312" s="62"/>
      <c r="J312" s="67"/>
    </row>
    <row r="313" spans="2:13" ht="14.25" customHeight="1"/>
    <row r="314" spans="2:13" ht="14.25" customHeight="1">
      <c r="B314" s="60" t="s">
        <v>213</v>
      </c>
    </row>
    <row r="315" spans="2:13" ht="14.25" customHeight="1"/>
    <row r="316" spans="2:13" ht="14.25" customHeight="1">
      <c r="C316" s="62" t="s">
        <v>361</v>
      </c>
      <c r="D316" s="60" t="s">
        <v>362</v>
      </c>
    </row>
    <row r="317" spans="2:13" ht="14.25" customHeight="1"/>
    <row r="318" spans="2:13" ht="14.25" customHeight="1">
      <c r="C318" s="62" t="s">
        <v>19</v>
      </c>
      <c r="D318" s="69">
        <f>G304</f>
        <v>13490</v>
      </c>
      <c r="E318" s="62" t="s">
        <v>123</v>
      </c>
      <c r="F318" s="73">
        <f>G312</f>
        <v>1670</v>
      </c>
    </row>
    <row r="319" spans="2:13" ht="14.25" customHeight="1"/>
    <row r="320" spans="2:13" ht="14.25" customHeight="1" thickBot="1">
      <c r="C320" s="62" t="s">
        <v>19</v>
      </c>
      <c r="D320" s="72">
        <f>ROUND(D318/F318,1)</f>
        <v>8.1</v>
      </c>
      <c r="E320" s="68" t="s">
        <v>118</v>
      </c>
    </row>
    <row r="321" spans="2:10" ht="14.25" customHeight="1"/>
    <row r="322" spans="2:10" ht="14.25" customHeight="1"/>
    <row r="323" spans="2:10" ht="14.25" customHeight="1">
      <c r="B323" s="61" t="s">
        <v>363</v>
      </c>
    </row>
    <row r="324" spans="2:10" ht="14.25" customHeight="1"/>
    <row r="325" spans="2:10" ht="14.25" customHeight="1">
      <c r="B325" s="60" t="s">
        <v>364</v>
      </c>
      <c r="F325" s="62" t="s">
        <v>365</v>
      </c>
      <c r="G325" s="69">
        <f>'[1]基本 (2)'!G34</f>
        <v>10</v>
      </c>
      <c r="H325" s="60" t="s">
        <v>40</v>
      </c>
    </row>
    <row r="326" spans="2:10" ht="14.25" customHeight="1"/>
    <row r="327" spans="2:10" ht="14.25" customHeight="1">
      <c r="B327" s="60" t="s">
        <v>204</v>
      </c>
    </row>
    <row r="328" spans="2:10" ht="14.25" customHeight="1"/>
    <row r="329" spans="2:10" ht="14.25" customHeight="1">
      <c r="C329" s="60" t="s">
        <v>366</v>
      </c>
      <c r="D329" s="62">
        <v>4</v>
      </c>
      <c r="E329" s="60" t="s">
        <v>367</v>
      </c>
      <c r="F329" s="62"/>
      <c r="G329" s="11"/>
      <c r="I329" s="62"/>
      <c r="J329" s="67"/>
    </row>
    <row r="330" spans="2:10" ht="14.25" customHeight="1"/>
    <row r="331" spans="2:10" ht="14.25" customHeight="1">
      <c r="B331" s="60" t="s">
        <v>213</v>
      </c>
    </row>
    <row r="332" spans="2:10" ht="14.25" customHeight="1"/>
    <row r="333" spans="2:10" ht="14.25" customHeight="1">
      <c r="C333" s="62" t="s">
        <v>368</v>
      </c>
      <c r="D333" s="60" t="s">
        <v>369</v>
      </c>
    </row>
    <row r="334" spans="2:10" ht="14.25" customHeight="1"/>
    <row r="335" spans="2:10" ht="14.25" customHeight="1">
      <c r="C335" s="62" t="s">
        <v>19</v>
      </c>
      <c r="D335" s="69">
        <f>G325</f>
        <v>10</v>
      </c>
      <c r="E335" s="62" t="s">
        <v>123</v>
      </c>
      <c r="F335" s="69">
        <f>D329</f>
        <v>4</v>
      </c>
    </row>
    <row r="336" spans="2:10" ht="14.25" customHeight="1"/>
    <row r="337" spans="2:10" ht="14.25" customHeight="1" thickBot="1">
      <c r="C337" s="62" t="s">
        <v>19</v>
      </c>
      <c r="D337" s="43">
        <f>ROUND(D335/F335,1)</f>
        <v>2.5</v>
      </c>
      <c r="E337" s="68" t="s">
        <v>118</v>
      </c>
    </row>
    <row r="338" spans="2:10" ht="14.25" customHeight="1"/>
    <row r="339" spans="2:10" ht="14.25" customHeight="1"/>
    <row r="340" spans="2:10" ht="14.25" customHeight="1">
      <c r="B340" s="61" t="s">
        <v>370</v>
      </c>
    </row>
    <row r="341" spans="2:10" ht="14.25" customHeight="1"/>
    <row r="342" spans="2:10" ht="14.25" customHeight="1">
      <c r="B342" s="60" t="s">
        <v>371</v>
      </c>
    </row>
    <row r="343" spans="2:10" ht="14.25" customHeight="1"/>
    <row r="344" spans="2:10" ht="14.25" customHeight="1">
      <c r="C344" s="60" t="s">
        <v>372</v>
      </c>
      <c r="H344" s="62" t="s">
        <v>10</v>
      </c>
      <c r="I344" s="9">
        <f>'[1]基本 (2)'!H12</f>
        <v>2.2999999999999998</v>
      </c>
      <c r="J344" s="60" t="s">
        <v>129</v>
      </c>
    </row>
    <row r="345" spans="2:10" ht="14.25" customHeight="1"/>
    <row r="346" spans="2:10" ht="14.25" customHeight="1">
      <c r="C346" s="60" t="str">
        <f>IF(I344&gt;=1.5,"・架設足場＝主体足場＋中段足場＋安全通路＋部分作業床","・架設足場＝主体足場＋安全通路＋部分作業床")</f>
        <v>・架設足場＝主体足場＋中段足場＋安全通路＋部分作業床</v>
      </c>
    </row>
    <row r="347" spans="2:10" ht="14.25" customHeight="1"/>
    <row r="348" spans="2:10" ht="14.25" customHeight="1">
      <c r="B348" s="60" t="s">
        <v>373</v>
      </c>
    </row>
    <row r="349" spans="2:10" ht="14.25" customHeight="1"/>
    <row r="350" spans="2:10" ht="14.25" customHeight="1">
      <c r="C350" s="60" t="s">
        <v>374</v>
      </c>
    </row>
    <row r="351" spans="2:10" ht="14.25" customHeight="1"/>
    <row r="352" spans="2:10" ht="14.25" customHeight="1">
      <c r="C352" s="60" t="s">
        <v>375</v>
      </c>
    </row>
    <row r="353" spans="2:20" ht="14.25" customHeight="1"/>
    <row r="354" spans="2:20" ht="14.25" customHeight="1">
      <c r="C354" s="60" t="s">
        <v>376</v>
      </c>
      <c r="E354" s="62" t="s">
        <v>84</v>
      </c>
      <c r="F354" s="332" t="s">
        <v>377</v>
      </c>
      <c r="G354" s="332"/>
      <c r="H354" s="62" t="s">
        <v>19</v>
      </c>
      <c r="I354" s="69">
        <f>'[1]基本 (2)'!D10</f>
        <v>13</v>
      </c>
      <c r="J354" s="62" t="s">
        <v>242</v>
      </c>
      <c r="K354" s="69">
        <f>'[1]基本 (2)'!N7</f>
        <v>119</v>
      </c>
      <c r="L354" s="62" t="s">
        <v>240</v>
      </c>
      <c r="M354" s="83">
        <f>ROUND(I354*K354,0)</f>
        <v>1547</v>
      </c>
      <c r="N354" s="60" t="s">
        <v>378</v>
      </c>
    </row>
    <row r="355" spans="2:20" ht="14.25" customHeight="1"/>
    <row r="356" spans="2:20" ht="14.25" customHeight="1">
      <c r="B356" s="60" t="s">
        <v>379</v>
      </c>
    </row>
    <row r="357" spans="2:20" ht="14.25" customHeight="1"/>
    <row r="358" spans="2:20" ht="14.25" customHeight="1">
      <c r="C358" s="60" t="s">
        <v>380</v>
      </c>
    </row>
    <row r="359" spans="2:20" ht="14.25" customHeight="1"/>
    <row r="360" spans="2:20" ht="14.25" customHeight="1">
      <c r="D360" s="333" t="s">
        <v>381</v>
      </c>
      <c r="E360" s="340" t="s">
        <v>382</v>
      </c>
      <c r="F360" s="340"/>
      <c r="G360" s="340"/>
      <c r="H360" s="333" t="s">
        <v>383</v>
      </c>
      <c r="I360" s="340" t="s">
        <v>382</v>
      </c>
      <c r="J360" s="340"/>
      <c r="K360" s="340"/>
      <c r="L360" s="333" t="s">
        <v>240</v>
      </c>
      <c r="M360" s="84">
        <f>M354</f>
        <v>1547</v>
      </c>
      <c r="N360" s="333" t="s">
        <v>383</v>
      </c>
      <c r="O360" s="84">
        <f>M354</f>
        <v>1547</v>
      </c>
      <c r="P360" s="333" t="s">
        <v>240</v>
      </c>
      <c r="Q360" s="336">
        <f>ROUND(M360/M361+O360/O361, 1)</f>
        <v>15.2</v>
      </c>
      <c r="R360" s="66"/>
      <c r="S360" s="85"/>
      <c r="T360" s="86"/>
    </row>
    <row r="361" spans="2:20" ht="14.25" customHeight="1">
      <c r="D361" s="333"/>
      <c r="E361" s="332" t="s">
        <v>384</v>
      </c>
      <c r="F361" s="332"/>
      <c r="G361" s="332"/>
      <c r="H361" s="333"/>
      <c r="I361" s="332" t="s">
        <v>385</v>
      </c>
      <c r="J361" s="332"/>
      <c r="K361" s="332"/>
      <c r="L361" s="333"/>
      <c r="M361" s="62">
        <v>172</v>
      </c>
      <c r="N361" s="333"/>
      <c r="O361" s="62">
        <v>250</v>
      </c>
      <c r="P361" s="333"/>
      <c r="Q361" s="336"/>
      <c r="R361" s="60" t="s">
        <v>216</v>
      </c>
      <c r="S361" s="85"/>
      <c r="T361" s="86"/>
    </row>
    <row r="362" spans="2:20" ht="14.25" customHeight="1">
      <c r="R362" s="62"/>
      <c r="S362" s="67"/>
    </row>
    <row r="363" spans="2:20" ht="14.25" customHeight="1">
      <c r="C363" s="60" t="s">
        <v>386</v>
      </c>
    </row>
    <row r="364" spans="2:20" ht="14.25" customHeight="1"/>
    <row r="365" spans="2:20" ht="14.25" customHeight="1">
      <c r="D365" s="333" t="s">
        <v>387</v>
      </c>
      <c r="E365" s="340" t="s">
        <v>382</v>
      </c>
      <c r="F365" s="340"/>
      <c r="G365" s="340"/>
      <c r="H365" s="333" t="s">
        <v>383</v>
      </c>
      <c r="I365" s="340" t="s">
        <v>382</v>
      </c>
      <c r="J365" s="340"/>
      <c r="K365" s="340"/>
      <c r="L365" s="333" t="s">
        <v>240</v>
      </c>
      <c r="M365" s="84">
        <f>M354</f>
        <v>1547</v>
      </c>
      <c r="N365" s="333" t="s">
        <v>383</v>
      </c>
      <c r="O365" s="84">
        <f>M354</f>
        <v>1547</v>
      </c>
      <c r="P365" s="333" t="s">
        <v>240</v>
      </c>
      <c r="Q365" s="336">
        <f>ROUND(M365/M366+O365/O366, 1)</f>
        <v>6.2</v>
      </c>
      <c r="R365" s="66"/>
      <c r="S365" s="85"/>
      <c r="T365" s="86"/>
    </row>
    <row r="366" spans="2:20" ht="14.25" customHeight="1">
      <c r="D366" s="333"/>
      <c r="E366" s="332" t="s">
        <v>384</v>
      </c>
      <c r="F366" s="332"/>
      <c r="G366" s="332"/>
      <c r="H366" s="333"/>
      <c r="I366" s="332" t="s">
        <v>385</v>
      </c>
      <c r="J366" s="332"/>
      <c r="K366" s="332"/>
      <c r="L366" s="333"/>
      <c r="M366" s="62">
        <v>385</v>
      </c>
      <c r="N366" s="333"/>
      <c r="O366" s="62">
        <v>714</v>
      </c>
      <c r="P366" s="333"/>
      <c r="Q366" s="336"/>
      <c r="R366" s="60" t="s">
        <v>216</v>
      </c>
      <c r="S366" s="85"/>
      <c r="T366" s="86"/>
    </row>
    <row r="367" spans="2:20" ht="14.25" customHeight="1">
      <c r="R367" s="62"/>
      <c r="S367" s="67"/>
    </row>
    <row r="368" spans="2:20" ht="14.25" customHeight="1">
      <c r="C368" s="60" t="s">
        <v>388</v>
      </c>
    </row>
    <row r="369" spans="2:20" ht="14.25" customHeight="1"/>
    <row r="370" spans="2:20" ht="14.25" customHeight="1">
      <c r="D370" s="333" t="s">
        <v>389</v>
      </c>
      <c r="E370" s="340" t="s">
        <v>382</v>
      </c>
      <c r="F370" s="340"/>
      <c r="G370" s="340"/>
      <c r="H370" s="340"/>
      <c r="L370" s="333" t="s">
        <v>276</v>
      </c>
      <c r="M370" s="84">
        <f>M354</f>
        <v>1547</v>
      </c>
      <c r="P370" s="333" t="s">
        <v>240</v>
      </c>
      <c r="Q370" s="336">
        <f>ROUND(M370/M371, 1)</f>
        <v>4</v>
      </c>
      <c r="R370" s="66"/>
      <c r="S370" s="85"/>
      <c r="T370" s="86"/>
    </row>
    <row r="371" spans="2:20" ht="14.25" customHeight="1">
      <c r="D371" s="333"/>
      <c r="E371" s="332" t="s">
        <v>390</v>
      </c>
      <c r="F371" s="332"/>
      <c r="G371" s="332"/>
      <c r="H371" s="332"/>
      <c r="L371" s="333"/>
      <c r="M371" s="62">
        <v>385</v>
      </c>
      <c r="P371" s="333"/>
      <c r="Q371" s="336"/>
      <c r="R371" s="60" t="s">
        <v>216</v>
      </c>
      <c r="S371" s="85"/>
      <c r="T371" s="86"/>
    </row>
    <row r="372" spans="2:20" ht="14.25" customHeight="1">
      <c r="R372" s="62"/>
      <c r="S372" s="67"/>
    </row>
    <row r="373" spans="2:20" ht="14.25" customHeight="1">
      <c r="C373" s="60" t="s">
        <v>391</v>
      </c>
    </row>
    <row r="374" spans="2:20" ht="14.25" customHeight="1"/>
    <row r="375" spans="2:20" ht="14.25" customHeight="1">
      <c r="D375" s="333" t="s">
        <v>392</v>
      </c>
      <c r="E375" s="340" t="s">
        <v>382</v>
      </c>
      <c r="F375" s="340"/>
      <c r="G375" s="340"/>
      <c r="H375" s="340"/>
      <c r="L375" s="333" t="s">
        <v>240</v>
      </c>
      <c r="M375" s="84">
        <f>M355</f>
        <v>0</v>
      </c>
      <c r="P375" s="333" t="s">
        <v>276</v>
      </c>
      <c r="Q375" s="336">
        <f>ROUND(M375/M376, 1)</f>
        <v>0</v>
      </c>
      <c r="R375" s="66"/>
      <c r="S375" s="85"/>
      <c r="T375" s="86"/>
    </row>
    <row r="376" spans="2:20" ht="14.25" customHeight="1">
      <c r="D376" s="333"/>
      <c r="E376" s="332" t="s">
        <v>390</v>
      </c>
      <c r="F376" s="332"/>
      <c r="G376" s="332"/>
      <c r="H376" s="332"/>
      <c r="L376" s="333"/>
      <c r="M376" s="62">
        <v>714</v>
      </c>
      <c r="P376" s="333"/>
      <c r="Q376" s="336"/>
      <c r="R376" s="60" t="s">
        <v>216</v>
      </c>
      <c r="S376" s="85"/>
      <c r="T376" s="86"/>
    </row>
    <row r="377" spans="2:20" ht="14.25" customHeight="1">
      <c r="R377" s="62"/>
      <c r="S377" s="67"/>
    </row>
    <row r="378" spans="2:20" ht="14.25" customHeight="1">
      <c r="C378" s="60" t="s">
        <v>393</v>
      </c>
    </row>
    <row r="379" spans="2:20" ht="14.25" customHeight="1"/>
    <row r="380" spans="2:20" ht="14.25" customHeight="1" thickBot="1">
      <c r="D380" s="62" t="s">
        <v>394</v>
      </c>
      <c r="E380" s="43">
        <f>ROUND(SUM(Q360,Q365,Q370,Q375),1)</f>
        <v>25.4</v>
      </c>
      <c r="F380" s="68" t="s">
        <v>216</v>
      </c>
      <c r="G380" s="62"/>
      <c r="H380" s="62"/>
    </row>
    <row r="381" spans="2:20" ht="14.25" customHeight="1">
      <c r="E381" s="62"/>
      <c r="F381" s="62"/>
      <c r="G381" s="62"/>
      <c r="H381" s="62"/>
      <c r="I381" s="62"/>
      <c r="J381" s="62"/>
    </row>
    <row r="382" spans="2:20" ht="14.25" customHeight="1">
      <c r="E382" s="62"/>
      <c r="F382" s="62"/>
      <c r="G382" s="62"/>
      <c r="H382" s="62"/>
      <c r="I382" s="62"/>
      <c r="J382" s="62"/>
    </row>
    <row r="383" spans="2:20" ht="14.25" customHeight="1">
      <c r="B383" s="61" t="s">
        <v>395</v>
      </c>
    </row>
    <row r="384" spans="2:20" ht="14.25" customHeight="1"/>
    <row r="385" spans="3:6" ht="14.25" customHeight="1">
      <c r="C385" s="338" t="s">
        <v>396</v>
      </c>
      <c r="D385" s="338"/>
      <c r="E385" s="338" t="s">
        <v>397</v>
      </c>
      <c r="F385" s="338"/>
    </row>
    <row r="386" spans="3:6" ht="14.25" customHeight="1">
      <c r="C386" s="341" t="s">
        <v>398</v>
      </c>
      <c r="D386" s="341"/>
      <c r="E386" s="342">
        <v>8</v>
      </c>
      <c r="F386" s="342"/>
    </row>
    <row r="387" spans="3:6" ht="14.25" customHeight="1">
      <c r="C387" s="341" t="s">
        <v>399</v>
      </c>
      <c r="D387" s="341"/>
      <c r="E387" s="342">
        <v>9</v>
      </c>
      <c r="F387" s="342"/>
    </row>
    <row r="388" spans="3:6" ht="14.25" customHeight="1">
      <c r="C388" s="341" t="s">
        <v>400</v>
      </c>
      <c r="D388" s="341"/>
      <c r="E388" s="342">
        <v>12</v>
      </c>
      <c r="F388" s="342"/>
    </row>
    <row r="389" spans="3:6" ht="14.25" hidden="1" customHeight="1">
      <c r="C389" s="341"/>
      <c r="D389" s="341"/>
      <c r="E389" s="342"/>
      <c r="F389" s="342"/>
    </row>
    <row r="390" spans="3:6" ht="14.25" hidden="1" customHeight="1">
      <c r="C390" s="341"/>
      <c r="D390" s="341"/>
      <c r="E390" s="342"/>
      <c r="F390" s="342"/>
    </row>
    <row r="391" spans="3:6" ht="14.25" hidden="1" customHeight="1">
      <c r="C391" s="341"/>
      <c r="D391" s="341"/>
      <c r="E391" s="342"/>
      <c r="F391" s="342"/>
    </row>
    <row r="392" spans="3:6" ht="14.25" hidden="1" customHeight="1">
      <c r="C392" s="341"/>
      <c r="D392" s="341"/>
      <c r="E392" s="342"/>
      <c r="F392" s="342"/>
    </row>
    <row r="393" spans="3:6" ht="14.25" hidden="1" customHeight="1">
      <c r="C393" s="341"/>
      <c r="D393" s="341"/>
      <c r="E393" s="342"/>
      <c r="F393" s="342"/>
    </row>
    <row r="394" spans="3:6" ht="14.25" hidden="1" customHeight="1">
      <c r="C394" s="341"/>
      <c r="D394" s="341"/>
      <c r="E394" s="342"/>
      <c r="F394" s="342"/>
    </row>
    <row r="395" spans="3:6" ht="14.25" hidden="1" customHeight="1">
      <c r="C395" s="341"/>
      <c r="D395" s="341"/>
      <c r="E395" s="342"/>
      <c r="F395" s="342"/>
    </row>
    <row r="396" spans="3:6" ht="14.25" hidden="1" customHeight="1">
      <c r="C396" s="341"/>
      <c r="D396" s="341"/>
      <c r="E396" s="342"/>
      <c r="F396" s="342"/>
    </row>
    <row r="397" spans="3:6" ht="14.25" hidden="1" customHeight="1">
      <c r="C397" s="341"/>
      <c r="D397" s="341"/>
      <c r="E397" s="342"/>
      <c r="F397" s="342"/>
    </row>
    <row r="398" spans="3:6" ht="14.25" hidden="1" customHeight="1">
      <c r="C398" s="341"/>
      <c r="D398" s="341"/>
      <c r="E398" s="342"/>
      <c r="F398" s="342"/>
    </row>
    <row r="399" spans="3:6" ht="14.25" hidden="1" customHeight="1">
      <c r="C399" s="341"/>
      <c r="D399" s="341"/>
      <c r="E399" s="342"/>
      <c r="F399" s="342"/>
    </row>
    <row r="400" spans="3:6" ht="14.25" hidden="1" customHeight="1">
      <c r="C400" s="341"/>
      <c r="D400" s="341"/>
      <c r="E400" s="342"/>
      <c r="F400" s="342"/>
    </row>
    <row r="401" spans="2:20" ht="14.25" customHeight="1">
      <c r="C401" s="338" t="s">
        <v>237</v>
      </c>
      <c r="D401" s="338"/>
      <c r="E401" s="339">
        <f>SUM(E386:F400)</f>
        <v>29</v>
      </c>
      <c r="F401" s="339"/>
    </row>
    <row r="402" spans="2:20" ht="14.25" customHeight="1">
      <c r="C402" s="62"/>
      <c r="D402" s="62"/>
      <c r="E402" s="62"/>
      <c r="F402" s="62"/>
    </row>
    <row r="403" spans="2:20" ht="14.25" customHeight="1">
      <c r="C403" s="60" t="s">
        <v>401</v>
      </c>
    </row>
    <row r="404" spans="2:20" ht="14.25" customHeight="1"/>
    <row r="405" spans="2:20" ht="14.25" customHeight="1">
      <c r="D405" s="333" t="s">
        <v>402</v>
      </c>
      <c r="E405" s="340" t="s">
        <v>403</v>
      </c>
      <c r="F405" s="340"/>
      <c r="G405" s="340"/>
      <c r="H405" s="333" t="s">
        <v>383</v>
      </c>
      <c r="I405" s="340" t="s">
        <v>403</v>
      </c>
      <c r="J405" s="340"/>
      <c r="K405" s="340"/>
      <c r="L405" s="333" t="s">
        <v>276</v>
      </c>
      <c r="M405" s="84">
        <f>E401</f>
        <v>29</v>
      </c>
      <c r="N405" s="333" t="s">
        <v>404</v>
      </c>
      <c r="O405" s="84">
        <f>E401</f>
        <v>29</v>
      </c>
      <c r="P405" s="333" t="s">
        <v>240</v>
      </c>
      <c r="Q405" s="336">
        <f>ROUND(M405/M406+O405/O406, 1)</f>
        <v>4.2</v>
      </c>
      <c r="R405" s="66"/>
      <c r="S405" s="85"/>
      <c r="T405" s="86"/>
    </row>
    <row r="406" spans="2:20" ht="14.25" customHeight="1">
      <c r="D406" s="333"/>
      <c r="E406" s="332" t="s">
        <v>384</v>
      </c>
      <c r="F406" s="332"/>
      <c r="G406" s="332"/>
      <c r="H406" s="333"/>
      <c r="I406" s="332" t="s">
        <v>385</v>
      </c>
      <c r="J406" s="332"/>
      <c r="K406" s="332"/>
      <c r="L406" s="333"/>
      <c r="M406" s="62">
        <v>12</v>
      </c>
      <c r="N406" s="333"/>
      <c r="O406" s="62">
        <v>16</v>
      </c>
      <c r="P406" s="333"/>
      <c r="Q406" s="336"/>
      <c r="R406" s="60" t="s">
        <v>216</v>
      </c>
      <c r="S406" s="85"/>
      <c r="T406" s="86"/>
    </row>
    <row r="407" spans="2:20" ht="14.25" customHeight="1">
      <c r="R407" s="62"/>
      <c r="S407" s="67"/>
    </row>
    <row r="408" spans="2:20" ht="14.25" customHeight="1"/>
    <row r="409" spans="2:20" ht="14.25" customHeight="1">
      <c r="B409" s="61" t="s">
        <v>405</v>
      </c>
    </row>
    <row r="410" spans="2:20" ht="14.25" customHeight="1"/>
    <row r="411" spans="2:20" ht="14.25" customHeight="1">
      <c r="C411" s="338" t="s">
        <v>406</v>
      </c>
      <c r="D411" s="338"/>
      <c r="E411" s="338" t="s">
        <v>407</v>
      </c>
      <c r="F411" s="338"/>
    </row>
    <row r="412" spans="2:20" ht="14.25" hidden="1" customHeight="1">
      <c r="C412" s="338" t="s">
        <v>408</v>
      </c>
      <c r="D412" s="338"/>
      <c r="E412" s="339">
        <f>E414/2</f>
        <v>93.54</v>
      </c>
      <c r="F412" s="339"/>
    </row>
    <row r="413" spans="2:20" ht="14.25" hidden="1" customHeight="1">
      <c r="C413" s="338" t="s">
        <v>409</v>
      </c>
      <c r="D413" s="338"/>
      <c r="E413" s="339">
        <f>E414/2</f>
        <v>93.54</v>
      </c>
      <c r="F413" s="339"/>
    </row>
    <row r="414" spans="2:20" ht="14.25" customHeight="1">
      <c r="C414" s="338" t="s">
        <v>410</v>
      </c>
      <c r="D414" s="338"/>
      <c r="E414" s="339">
        <f>'[1]基本 (2)'!J93</f>
        <v>187.08</v>
      </c>
      <c r="F414" s="339"/>
    </row>
    <row r="415" spans="2:20" ht="14.25" customHeight="1"/>
    <row r="416" spans="2:20" ht="14.25" customHeight="1">
      <c r="C416" s="60" t="s">
        <v>411</v>
      </c>
    </row>
    <row r="417" spans="3:19" ht="14.25" customHeight="1"/>
    <row r="418" spans="3:19" ht="14.25" customHeight="1">
      <c r="D418" s="333" t="s">
        <v>412</v>
      </c>
      <c r="E418" s="87" t="s">
        <v>92</v>
      </c>
      <c r="F418" s="333" t="s">
        <v>276</v>
      </c>
      <c r="G418" s="88">
        <f>E414</f>
        <v>187.08</v>
      </c>
      <c r="H418" s="333" t="s">
        <v>413</v>
      </c>
      <c r="I418" s="336">
        <f>ROUNDUP(G418/G419,0)</f>
        <v>4</v>
      </c>
      <c r="K418" s="85"/>
      <c r="L418" s="86"/>
    </row>
    <row r="419" spans="3:19" ht="14.25" customHeight="1">
      <c r="D419" s="333"/>
      <c r="E419" s="62">
        <v>50</v>
      </c>
      <c r="F419" s="333"/>
      <c r="G419" s="62">
        <v>50</v>
      </c>
      <c r="H419" s="333"/>
      <c r="I419" s="336"/>
      <c r="J419" s="60" t="s">
        <v>216</v>
      </c>
      <c r="K419" s="85"/>
      <c r="L419" s="86"/>
      <c r="N419" s="62"/>
      <c r="O419" s="67"/>
    </row>
    <row r="420" spans="3:19" ht="14.25" customHeight="1"/>
    <row r="421" spans="3:19" ht="14.25" customHeight="1">
      <c r="C421" s="60" t="s">
        <v>414</v>
      </c>
    </row>
    <row r="422" spans="3:19" ht="14.25" customHeight="1"/>
    <row r="423" spans="3:19" ht="14.25" customHeight="1">
      <c r="D423" s="333" t="s">
        <v>415</v>
      </c>
      <c r="E423" s="87" t="s">
        <v>92</v>
      </c>
      <c r="F423" s="333" t="s">
        <v>276</v>
      </c>
      <c r="G423" s="88">
        <f>E414</f>
        <v>187.08</v>
      </c>
      <c r="H423" s="333" t="s">
        <v>413</v>
      </c>
      <c r="I423" s="336">
        <f>ROUNDUP(G423/G424,0)</f>
        <v>1</v>
      </c>
      <c r="K423" s="335" t="s">
        <v>283</v>
      </c>
      <c r="L423" s="337">
        <v>5</v>
      </c>
      <c r="N423" s="335" t="s">
        <v>240</v>
      </c>
      <c r="O423" s="336">
        <f>ROUND(I423*L423,1)</f>
        <v>5</v>
      </c>
      <c r="Q423" s="85"/>
      <c r="R423" s="86"/>
    </row>
    <row r="424" spans="3:19" ht="14.25" customHeight="1">
      <c r="D424" s="333"/>
      <c r="E424" s="62">
        <v>400</v>
      </c>
      <c r="F424" s="333"/>
      <c r="G424" s="62">
        <v>400</v>
      </c>
      <c r="H424" s="333"/>
      <c r="I424" s="336"/>
      <c r="J424" s="60" t="s">
        <v>416</v>
      </c>
      <c r="K424" s="335"/>
      <c r="L424" s="337"/>
      <c r="M424" s="60" t="s">
        <v>417</v>
      </c>
      <c r="N424" s="335"/>
      <c r="O424" s="336"/>
      <c r="P424" s="60" t="s">
        <v>216</v>
      </c>
      <c r="Q424" s="85"/>
      <c r="R424" s="86"/>
    </row>
    <row r="425" spans="3:19" ht="14.25" customHeight="1">
      <c r="R425" s="62"/>
      <c r="S425" s="67"/>
    </row>
    <row r="426" spans="3:19" ht="14.25" hidden="1" customHeight="1">
      <c r="C426" s="60" t="s">
        <v>418</v>
      </c>
    </row>
    <row r="427" spans="3:19" ht="14.25" hidden="1" customHeight="1"/>
    <row r="428" spans="3:19" ht="14.25" hidden="1" customHeight="1">
      <c r="D428" s="333" t="s">
        <v>419</v>
      </c>
      <c r="E428" s="87" t="s">
        <v>92</v>
      </c>
      <c r="F428" s="333" t="s">
        <v>276</v>
      </c>
      <c r="G428" s="88">
        <f>E413</f>
        <v>93.54</v>
      </c>
      <c r="H428" s="333" t="s">
        <v>413</v>
      </c>
      <c r="I428" s="336">
        <f>ROUNDUP(G428/G429,0)</f>
        <v>1</v>
      </c>
      <c r="K428" s="335" t="s">
        <v>242</v>
      </c>
      <c r="L428" s="337">
        <v>3</v>
      </c>
      <c r="N428" s="335" t="s">
        <v>420</v>
      </c>
      <c r="O428" s="336">
        <f>ROUND(I428*L428,1)</f>
        <v>3</v>
      </c>
      <c r="Q428" s="85"/>
      <c r="R428" s="86"/>
    </row>
    <row r="429" spans="3:19" ht="14.25" hidden="1" customHeight="1">
      <c r="D429" s="333"/>
      <c r="E429" s="62">
        <v>400</v>
      </c>
      <c r="F429" s="333"/>
      <c r="G429" s="62">
        <v>400</v>
      </c>
      <c r="H429" s="333"/>
      <c r="I429" s="336"/>
      <c r="J429" s="60" t="s">
        <v>416</v>
      </c>
      <c r="K429" s="335"/>
      <c r="L429" s="337"/>
      <c r="M429" s="60" t="s">
        <v>417</v>
      </c>
      <c r="N429" s="335"/>
      <c r="O429" s="336"/>
      <c r="P429" s="60" t="s">
        <v>216</v>
      </c>
      <c r="Q429" s="85"/>
      <c r="R429" s="86"/>
    </row>
    <row r="430" spans="3:19" ht="14.25" hidden="1" customHeight="1">
      <c r="R430" s="62"/>
      <c r="S430" s="67"/>
    </row>
    <row r="431" spans="3:19" ht="14.25" customHeight="1">
      <c r="C431" s="60" t="s">
        <v>393</v>
      </c>
    </row>
    <row r="432" spans="3:19" ht="14.25" customHeight="1"/>
    <row r="433" spans="2:14" ht="14.25" customHeight="1" thickBot="1">
      <c r="D433" s="62" t="s">
        <v>421</v>
      </c>
      <c r="E433" s="43">
        <f>I418+O423</f>
        <v>9</v>
      </c>
      <c r="F433" s="68" t="s">
        <v>118</v>
      </c>
      <c r="G433" s="62"/>
    </row>
    <row r="434" spans="2:14" ht="14.25" customHeight="1"/>
    <row r="435" spans="2:14" ht="14.25" customHeight="1"/>
    <row r="436" spans="2:14" ht="14.25" hidden="1" customHeight="1">
      <c r="B436" s="61"/>
    </row>
    <row r="437" spans="2:14" ht="14.25" hidden="1" customHeight="1"/>
    <row r="438" spans="2:14" ht="14.25" hidden="1" customHeight="1">
      <c r="B438" s="60" t="s">
        <v>422</v>
      </c>
      <c r="E438" s="62" t="s">
        <v>423</v>
      </c>
      <c r="F438" s="332" t="s">
        <v>377</v>
      </c>
      <c r="G438" s="332"/>
      <c r="H438" s="62" t="s">
        <v>19</v>
      </c>
      <c r="I438" s="69"/>
      <c r="J438" s="62" t="s">
        <v>424</v>
      </c>
      <c r="K438" s="69"/>
      <c r="L438" s="62" t="s">
        <v>276</v>
      </c>
      <c r="M438" s="73">
        <f>ROUND(I438*K438,0)</f>
        <v>0</v>
      </c>
      <c r="N438" s="60" t="s">
        <v>425</v>
      </c>
    </row>
    <row r="439" spans="2:14" ht="14.25" hidden="1" customHeight="1"/>
    <row r="440" spans="2:14" ht="14.25" hidden="1" customHeight="1">
      <c r="B440" s="60" t="s">
        <v>426</v>
      </c>
      <c r="E440" s="62" t="s">
        <v>427</v>
      </c>
      <c r="F440" s="62">
        <v>1.2999999999999999E-2</v>
      </c>
      <c r="G440" s="60" t="s">
        <v>428</v>
      </c>
      <c r="H440" s="62"/>
      <c r="I440" s="70"/>
      <c r="K440" s="62"/>
      <c r="L440" s="67"/>
    </row>
    <row r="441" spans="2:14" ht="14.25" hidden="1" customHeight="1">
      <c r="L441" s="66"/>
    </row>
    <row r="442" spans="2:14" ht="14.25" hidden="1" customHeight="1">
      <c r="B442" s="60" t="s">
        <v>429</v>
      </c>
    </row>
    <row r="443" spans="2:14" ht="14.25" hidden="1" customHeight="1"/>
    <row r="444" spans="2:14" ht="14.25" hidden="1" customHeight="1">
      <c r="C444" s="62"/>
      <c r="D444" s="77">
        <f>F440</f>
        <v>1.2999999999999999E-2</v>
      </c>
      <c r="E444" s="62" t="s">
        <v>430</v>
      </c>
      <c r="F444" s="73">
        <f>M438</f>
        <v>0</v>
      </c>
      <c r="G444" s="62" t="s">
        <v>431</v>
      </c>
      <c r="H444" s="89">
        <v>1.5</v>
      </c>
      <c r="I444" s="62" t="s">
        <v>432</v>
      </c>
      <c r="J444" s="69">
        <f>ROUND(D444*F444*H444,1)</f>
        <v>0</v>
      </c>
      <c r="K444" s="60" t="s">
        <v>433</v>
      </c>
    </row>
    <row r="445" spans="2:14" ht="14.25" hidden="1" customHeight="1"/>
    <row r="446" spans="2:14" ht="14.25" hidden="1" customHeight="1">
      <c r="B446" s="60" t="s">
        <v>434</v>
      </c>
    </row>
    <row r="447" spans="2:14" ht="14.25" hidden="1" customHeight="1"/>
    <row r="448" spans="2:14" ht="14.25" hidden="1" customHeight="1">
      <c r="C448" s="60" t="s">
        <v>435</v>
      </c>
      <c r="E448" s="62" t="s">
        <v>436</v>
      </c>
      <c r="F448" s="332" t="s">
        <v>437</v>
      </c>
      <c r="G448" s="332"/>
      <c r="H448" s="332"/>
      <c r="I448" s="62"/>
      <c r="J448" s="62"/>
    </row>
    <row r="449" spans="2:23" ht="14.25" hidden="1" customHeight="1">
      <c r="E449" s="62"/>
      <c r="F449" s="62"/>
      <c r="G449" s="62"/>
      <c r="H449" s="62"/>
      <c r="I449" s="62"/>
      <c r="J449" s="62"/>
      <c r="L449" s="62"/>
      <c r="M449" s="62"/>
      <c r="N449" s="62"/>
      <c r="O449" s="62"/>
      <c r="P449" s="62"/>
      <c r="Q449" s="62"/>
      <c r="R449" s="62"/>
      <c r="S449" s="11"/>
    </row>
    <row r="450" spans="2:23" ht="14.25" hidden="1" customHeight="1">
      <c r="E450" s="62" t="s">
        <v>276</v>
      </c>
      <c r="F450" s="69"/>
      <c r="G450" s="62" t="s">
        <v>283</v>
      </c>
      <c r="H450" s="69"/>
      <c r="I450" s="62"/>
      <c r="J450" s="62"/>
      <c r="O450" s="62"/>
      <c r="P450" s="62"/>
      <c r="Q450" s="62"/>
      <c r="R450" s="62"/>
      <c r="S450" s="11"/>
    </row>
    <row r="451" spans="2:23" ht="14.25" hidden="1" customHeight="1">
      <c r="E451" s="62"/>
      <c r="F451" s="62"/>
      <c r="G451" s="62"/>
      <c r="H451" s="62"/>
      <c r="I451" s="62"/>
      <c r="J451" s="62"/>
      <c r="L451" s="62"/>
      <c r="M451" s="62"/>
      <c r="N451" s="62"/>
      <c r="O451" s="62"/>
      <c r="P451" s="62"/>
      <c r="Q451" s="62"/>
      <c r="R451" s="62"/>
      <c r="S451" s="11"/>
    </row>
    <row r="452" spans="2:23" ht="14.25" hidden="1" customHeight="1">
      <c r="E452" s="62" t="s">
        <v>240</v>
      </c>
      <c r="F452" s="90">
        <f>ROUND(F450*H450,1)</f>
        <v>0</v>
      </c>
      <c r="G452" s="60" t="s">
        <v>438</v>
      </c>
      <c r="H452" s="62"/>
      <c r="I452" s="62"/>
      <c r="J452" s="62"/>
      <c r="L452" s="62"/>
      <c r="M452" s="62"/>
      <c r="N452" s="62"/>
      <c r="O452" s="62"/>
      <c r="P452" s="62"/>
      <c r="Q452" s="62"/>
      <c r="R452" s="62"/>
      <c r="S452" s="11"/>
    </row>
    <row r="453" spans="2:23" ht="14.25" hidden="1" customHeight="1"/>
    <row r="454" spans="2:23" ht="14.25" hidden="1" customHeight="1">
      <c r="C454" s="333"/>
      <c r="D454" s="91">
        <f>F452</f>
        <v>0</v>
      </c>
      <c r="E454" s="87" t="s">
        <v>430</v>
      </c>
      <c r="F454" s="87">
        <v>2.5000000000000001E-2</v>
      </c>
      <c r="G454" s="333" t="s">
        <v>439</v>
      </c>
      <c r="H454" s="334">
        <v>1.5</v>
      </c>
      <c r="I454" s="333" t="s">
        <v>432</v>
      </c>
      <c r="J454" s="331">
        <f>ROUND(((D454*F454)/D455)*H454,1)</f>
        <v>0</v>
      </c>
      <c r="L454" s="85"/>
      <c r="M454" s="86"/>
    </row>
    <row r="455" spans="2:23" ht="14.25" hidden="1" customHeight="1">
      <c r="C455" s="333"/>
      <c r="D455" s="332">
        <v>4</v>
      </c>
      <c r="E455" s="332"/>
      <c r="F455" s="332"/>
      <c r="G455" s="333"/>
      <c r="H455" s="334"/>
      <c r="I455" s="333"/>
      <c r="J455" s="331"/>
      <c r="K455" s="60" t="s">
        <v>433</v>
      </c>
      <c r="L455" s="85"/>
      <c r="M455" s="86"/>
      <c r="O455" s="62"/>
      <c r="P455" s="67"/>
    </row>
    <row r="456" spans="2:23" ht="14.25" hidden="1" customHeight="1"/>
    <row r="457" spans="2:23" ht="14.25" hidden="1" customHeight="1">
      <c r="B457" s="60" t="s">
        <v>440</v>
      </c>
    </row>
    <row r="458" spans="2:23" ht="14.25" hidden="1" customHeight="1"/>
    <row r="459" spans="2:23" ht="14.25" hidden="1" customHeight="1">
      <c r="C459" s="60" t="s">
        <v>435</v>
      </c>
      <c r="E459" s="62" t="s">
        <v>441</v>
      </c>
      <c r="F459" s="332" t="s">
        <v>442</v>
      </c>
      <c r="G459" s="332"/>
      <c r="H459" s="332"/>
      <c r="I459" s="332"/>
      <c r="J459" s="332"/>
      <c r="K459" s="62"/>
      <c r="L459" s="66" t="s">
        <v>443</v>
      </c>
    </row>
    <row r="460" spans="2:23" ht="14.25" hidden="1" customHeight="1">
      <c r="E460" s="62"/>
      <c r="F460" s="62"/>
      <c r="G460" s="62"/>
      <c r="H460" s="62"/>
      <c r="I460" s="62"/>
      <c r="J460" s="62"/>
      <c r="K460" s="62"/>
      <c r="L460" s="62"/>
      <c r="N460" s="62"/>
      <c r="O460" s="62"/>
      <c r="P460" s="62"/>
      <c r="Q460" s="62"/>
      <c r="R460" s="62"/>
      <c r="S460" s="62"/>
      <c r="T460" s="62"/>
      <c r="U460" s="62"/>
      <c r="V460" s="62"/>
      <c r="W460" s="11"/>
    </row>
    <row r="461" spans="2:23" ht="14.25" hidden="1" customHeight="1">
      <c r="E461" s="62" t="s">
        <v>240</v>
      </c>
      <c r="F461" s="69"/>
      <c r="G461" s="62" t="s">
        <v>256</v>
      </c>
      <c r="H461" s="69"/>
      <c r="I461" s="62" t="s">
        <v>444</v>
      </c>
      <c r="J461" s="62">
        <v>1</v>
      </c>
      <c r="K461" s="62" t="s">
        <v>445</v>
      </c>
      <c r="L461" s="62"/>
      <c r="Q461" s="62"/>
      <c r="R461" s="62"/>
      <c r="S461" s="62"/>
      <c r="T461" s="62"/>
      <c r="U461" s="62"/>
      <c r="V461" s="62"/>
      <c r="W461" s="11"/>
    </row>
    <row r="462" spans="2:23" ht="14.25" hidden="1" customHeight="1">
      <c r="E462" s="62"/>
      <c r="F462" s="62"/>
      <c r="G462" s="62"/>
      <c r="H462" s="62"/>
      <c r="I462" s="62"/>
      <c r="J462" s="62"/>
      <c r="K462" s="62"/>
      <c r="L462" s="62"/>
      <c r="N462" s="62"/>
      <c r="O462" s="62"/>
      <c r="P462" s="62"/>
      <c r="Q462" s="62"/>
      <c r="R462" s="62"/>
      <c r="S462" s="62"/>
      <c r="T462" s="62"/>
      <c r="U462" s="62"/>
      <c r="V462" s="62"/>
      <c r="W462" s="11"/>
    </row>
    <row r="463" spans="2:23" ht="14.25" hidden="1" customHeight="1">
      <c r="E463" s="62" t="s">
        <v>240</v>
      </c>
      <c r="F463" s="90">
        <f>ROUND(F461*(H461-1),1)</f>
        <v>0</v>
      </c>
      <c r="G463" s="60" t="s">
        <v>446</v>
      </c>
      <c r="H463" s="62"/>
      <c r="I463" s="62"/>
      <c r="J463" s="62"/>
      <c r="K463" s="62"/>
      <c r="L463" s="62"/>
      <c r="N463" s="62"/>
      <c r="O463" s="62"/>
      <c r="P463" s="62"/>
      <c r="Q463" s="62"/>
      <c r="R463" s="62"/>
      <c r="S463" s="62"/>
      <c r="T463" s="62"/>
      <c r="U463" s="62"/>
      <c r="V463" s="62"/>
      <c r="W463" s="11"/>
    </row>
    <row r="464" spans="2:23" ht="14.25" hidden="1" customHeight="1"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11"/>
    </row>
    <row r="465" spans="2:16" ht="14.25" hidden="1" customHeight="1">
      <c r="C465" s="333"/>
      <c r="D465" s="91">
        <f>F463</f>
        <v>0</v>
      </c>
      <c r="E465" s="87" t="s">
        <v>430</v>
      </c>
      <c r="F465" s="92">
        <v>0.03</v>
      </c>
      <c r="G465" s="333" t="s">
        <v>439</v>
      </c>
      <c r="H465" s="334">
        <v>1.5</v>
      </c>
      <c r="I465" s="333" t="s">
        <v>432</v>
      </c>
      <c r="J465" s="331">
        <f>ROUND(((D465*F465)/D466)*H465,1)</f>
        <v>0</v>
      </c>
      <c r="L465" s="85"/>
      <c r="M465" s="86"/>
    </row>
    <row r="466" spans="2:16" ht="14.25" hidden="1" customHeight="1">
      <c r="C466" s="333"/>
      <c r="D466" s="332">
        <v>4</v>
      </c>
      <c r="E466" s="332"/>
      <c r="F466" s="332"/>
      <c r="G466" s="333"/>
      <c r="H466" s="334"/>
      <c r="I466" s="333"/>
      <c r="J466" s="331"/>
      <c r="K466" s="60" t="s">
        <v>433</v>
      </c>
      <c r="L466" s="85"/>
      <c r="M466" s="86"/>
      <c r="O466" s="62"/>
      <c r="P466" s="67"/>
    </row>
    <row r="467" spans="2:16" ht="14.25" hidden="1" customHeight="1"/>
    <row r="468" spans="2:16" ht="14.25" hidden="1" customHeight="1">
      <c r="B468" s="60" t="s">
        <v>289</v>
      </c>
    </row>
    <row r="469" spans="2:16" ht="14.25" hidden="1" customHeight="1"/>
    <row r="470" spans="2:16" ht="14.25" hidden="1" customHeight="1">
      <c r="C470" s="62"/>
      <c r="D470" s="9">
        <f>J444</f>
        <v>0</v>
      </c>
      <c r="E470" s="62" t="s">
        <v>447</v>
      </c>
      <c r="F470" s="9">
        <f>J454</f>
        <v>0</v>
      </c>
      <c r="G470" s="62" t="s">
        <v>267</v>
      </c>
      <c r="H470" s="9">
        <f>J465</f>
        <v>0</v>
      </c>
      <c r="I470" s="62" t="s">
        <v>276</v>
      </c>
      <c r="J470" s="9">
        <f>ROUND(D470+F470+H470,1)</f>
        <v>0</v>
      </c>
      <c r="K470" s="60" t="s">
        <v>216</v>
      </c>
    </row>
  </sheetData>
  <mergeCells count="423">
    <mergeCell ref="D15:E15"/>
    <mergeCell ref="F15:G15"/>
    <mergeCell ref="H15:I15"/>
    <mergeCell ref="J15:K15"/>
    <mergeCell ref="D16:E16"/>
    <mergeCell ref="F16:G16"/>
    <mergeCell ref="H16:I16"/>
    <mergeCell ref="J16:K16"/>
    <mergeCell ref="D13:E13"/>
    <mergeCell ref="F13:G13"/>
    <mergeCell ref="H13:I13"/>
    <mergeCell ref="J13:K13"/>
    <mergeCell ref="D14:E14"/>
    <mergeCell ref="F14:G14"/>
    <mergeCell ref="H14:I14"/>
    <mergeCell ref="J14:K14"/>
    <mergeCell ref="D19:E19"/>
    <mergeCell ref="F19:G19"/>
    <mergeCell ref="H19:I19"/>
    <mergeCell ref="J19:K19"/>
    <mergeCell ref="D20:E20"/>
    <mergeCell ref="F20:G20"/>
    <mergeCell ref="H20:I20"/>
    <mergeCell ref="J20:K20"/>
    <mergeCell ref="D17:E17"/>
    <mergeCell ref="F17:G17"/>
    <mergeCell ref="H17:I17"/>
    <mergeCell ref="J17:K17"/>
    <mergeCell ref="D18:E18"/>
    <mergeCell ref="F18:G18"/>
    <mergeCell ref="H18:I18"/>
    <mergeCell ref="J18:K18"/>
    <mergeCell ref="D23:E23"/>
    <mergeCell ref="F23:G23"/>
    <mergeCell ref="H23:I23"/>
    <mergeCell ref="J23:K23"/>
    <mergeCell ref="D24:E24"/>
    <mergeCell ref="F24:G24"/>
    <mergeCell ref="H24:I24"/>
    <mergeCell ref="J24:K24"/>
    <mergeCell ref="D21:E21"/>
    <mergeCell ref="F21:G21"/>
    <mergeCell ref="H21:I21"/>
    <mergeCell ref="J21:K21"/>
    <mergeCell ref="D22:E22"/>
    <mergeCell ref="F22:G22"/>
    <mergeCell ref="H22:I22"/>
    <mergeCell ref="J22:K22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D31:E31"/>
    <mergeCell ref="F31:G31"/>
    <mergeCell ref="H31:I31"/>
    <mergeCell ref="J31:K31"/>
    <mergeCell ref="D32:E32"/>
    <mergeCell ref="F32:G32"/>
    <mergeCell ref="H32:I32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D35:E35"/>
    <mergeCell ref="F35:G35"/>
    <mergeCell ref="H35:I35"/>
    <mergeCell ref="J35:K35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9:E39"/>
    <mergeCell ref="F39:G39"/>
    <mergeCell ref="H39:I39"/>
    <mergeCell ref="J39:K39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73:E73"/>
    <mergeCell ref="F73:G73"/>
    <mergeCell ref="H73:I73"/>
    <mergeCell ref="J73:K73"/>
    <mergeCell ref="L73:M73"/>
    <mergeCell ref="D74:E74"/>
    <mergeCell ref="F74:G74"/>
    <mergeCell ref="H74:I74"/>
    <mergeCell ref="J74:K74"/>
    <mergeCell ref="L74:M74"/>
    <mergeCell ref="D75:E75"/>
    <mergeCell ref="F75:G75"/>
    <mergeCell ref="H75:I75"/>
    <mergeCell ref="J75:K75"/>
    <mergeCell ref="L75:M75"/>
    <mergeCell ref="D76:E76"/>
    <mergeCell ref="F76:G76"/>
    <mergeCell ref="H76:I76"/>
    <mergeCell ref="J76:K76"/>
    <mergeCell ref="L76:M76"/>
    <mergeCell ref="D77:E77"/>
    <mergeCell ref="F77:G77"/>
    <mergeCell ref="H77:I77"/>
    <mergeCell ref="J77:K77"/>
    <mergeCell ref="L77:M77"/>
    <mergeCell ref="D78:E78"/>
    <mergeCell ref="F78:G78"/>
    <mergeCell ref="H78:I78"/>
    <mergeCell ref="J78:K78"/>
    <mergeCell ref="L78:M78"/>
    <mergeCell ref="D79:E79"/>
    <mergeCell ref="F79:G79"/>
    <mergeCell ref="H79:I79"/>
    <mergeCell ref="J79:K79"/>
    <mergeCell ref="L79:M79"/>
    <mergeCell ref="D80:E80"/>
    <mergeCell ref="F80:G80"/>
    <mergeCell ref="H80:I80"/>
    <mergeCell ref="J80:K80"/>
    <mergeCell ref="L80:M80"/>
    <mergeCell ref="D81:E81"/>
    <mergeCell ref="F81:G81"/>
    <mergeCell ref="H81:I81"/>
    <mergeCell ref="J81:K81"/>
    <mergeCell ref="L81:M81"/>
    <mergeCell ref="D82:E82"/>
    <mergeCell ref="F82:G82"/>
    <mergeCell ref="H82:I82"/>
    <mergeCell ref="J82:K82"/>
    <mergeCell ref="L82:M82"/>
    <mergeCell ref="D83:E83"/>
    <mergeCell ref="F83:G83"/>
    <mergeCell ref="H83:I83"/>
    <mergeCell ref="J83:K83"/>
    <mergeCell ref="L83:M83"/>
    <mergeCell ref="D84:E84"/>
    <mergeCell ref="F84:G84"/>
    <mergeCell ref="H84:I84"/>
    <mergeCell ref="J84:K84"/>
    <mergeCell ref="L84:M84"/>
    <mergeCell ref="D85:E85"/>
    <mergeCell ref="F85:G85"/>
    <mergeCell ref="H85:I85"/>
    <mergeCell ref="J85:K85"/>
    <mergeCell ref="L85:M85"/>
    <mergeCell ref="D86:E86"/>
    <mergeCell ref="F86:G86"/>
    <mergeCell ref="H86:I86"/>
    <mergeCell ref="J86:K86"/>
    <mergeCell ref="L86:M86"/>
    <mergeCell ref="D87:E87"/>
    <mergeCell ref="F87:G87"/>
    <mergeCell ref="H87:I87"/>
    <mergeCell ref="J87:K87"/>
    <mergeCell ref="L87:M87"/>
    <mergeCell ref="D88:E88"/>
    <mergeCell ref="F88:G88"/>
    <mergeCell ref="H88:I88"/>
    <mergeCell ref="J88:K88"/>
    <mergeCell ref="L88:M88"/>
    <mergeCell ref="D89:E89"/>
    <mergeCell ref="F89:G89"/>
    <mergeCell ref="H89:I89"/>
    <mergeCell ref="J89:K89"/>
    <mergeCell ref="L89:M89"/>
    <mergeCell ref="D90:E90"/>
    <mergeCell ref="F90:G90"/>
    <mergeCell ref="H90:I90"/>
    <mergeCell ref="J90:K90"/>
    <mergeCell ref="L90:M90"/>
    <mergeCell ref="D91:E91"/>
    <mergeCell ref="F91:G91"/>
    <mergeCell ref="H91:I91"/>
    <mergeCell ref="J91:K91"/>
    <mergeCell ref="L91:M91"/>
    <mergeCell ref="D92:E92"/>
    <mergeCell ref="F92:G92"/>
    <mergeCell ref="H92:I92"/>
    <mergeCell ref="J92:K92"/>
    <mergeCell ref="L92:M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D98:E98"/>
    <mergeCell ref="F98:G98"/>
    <mergeCell ref="H98:I98"/>
    <mergeCell ref="J98:K98"/>
    <mergeCell ref="L98:M98"/>
    <mergeCell ref="D99:E99"/>
    <mergeCell ref="F99:G99"/>
    <mergeCell ref="H99:I99"/>
    <mergeCell ref="J99:K99"/>
    <mergeCell ref="L99:M99"/>
    <mergeCell ref="D100:E100"/>
    <mergeCell ref="F100:G100"/>
    <mergeCell ref="H100:I100"/>
    <mergeCell ref="J100:K100"/>
    <mergeCell ref="L100:M100"/>
    <mergeCell ref="D101:E101"/>
    <mergeCell ref="F101:G101"/>
    <mergeCell ref="H101:I101"/>
    <mergeCell ref="J101:K101"/>
    <mergeCell ref="L101:M101"/>
    <mergeCell ref="D102:E102"/>
    <mergeCell ref="F102:G102"/>
    <mergeCell ref="H102:I102"/>
    <mergeCell ref="J102:K102"/>
    <mergeCell ref="L102:M102"/>
    <mergeCell ref="D103:E103"/>
    <mergeCell ref="F103:G103"/>
    <mergeCell ref="H103:I103"/>
    <mergeCell ref="J103:K103"/>
    <mergeCell ref="L103:M103"/>
    <mergeCell ref="D104:E104"/>
    <mergeCell ref="F104:G104"/>
    <mergeCell ref="H104:I104"/>
    <mergeCell ref="J104:K104"/>
    <mergeCell ref="L104:M104"/>
    <mergeCell ref="C241:D241"/>
    <mergeCell ref="E241:F241"/>
    <mergeCell ref="G241:H241"/>
    <mergeCell ref="C242:D242"/>
    <mergeCell ref="E242:F242"/>
    <mergeCell ref="G242:H242"/>
    <mergeCell ref="B146:D146"/>
    <mergeCell ref="C156:D156"/>
    <mergeCell ref="C158:D158"/>
    <mergeCell ref="C240:D240"/>
    <mergeCell ref="E240:F240"/>
    <mergeCell ref="G240:H240"/>
    <mergeCell ref="I360:K360"/>
    <mergeCell ref="L360:L361"/>
    <mergeCell ref="N360:N361"/>
    <mergeCell ref="P360:P361"/>
    <mergeCell ref="Q360:Q361"/>
    <mergeCell ref="E361:G361"/>
    <mergeCell ref="I361:K361"/>
    <mergeCell ref="C243:D243"/>
    <mergeCell ref="E243:F243"/>
    <mergeCell ref="G243:H243"/>
    <mergeCell ref="F354:G354"/>
    <mergeCell ref="D360:D361"/>
    <mergeCell ref="E360:G360"/>
    <mergeCell ref="H360:H361"/>
    <mergeCell ref="P375:P376"/>
    <mergeCell ref="Q375:Q376"/>
    <mergeCell ref="E376:H376"/>
    <mergeCell ref="P365:P366"/>
    <mergeCell ref="Q365:Q366"/>
    <mergeCell ref="E366:G366"/>
    <mergeCell ref="I366:K366"/>
    <mergeCell ref="D370:D371"/>
    <mergeCell ref="E370:H370"/>
    <mergeCell ref="L370:L371"/>
    <mergeCell ref="P370:P371"/>
    <mergeCell ref="Q370:Q371"/>
    <mergeCell ref="E371:H371"/>
    <mergeCell ref="D365:D366"/>
    <mergeCell ref="E365:G365"/>
    <mergeCell ref="H365:H366"/>
    <mergeCell ref="I365:K365"/>
    <mergeCell ref="L365:L366"/>
    <mergeCell ref="N365:N366"/>
    <mergeCell ref="C385:D385"/>
    <mergeCell ref="E385:F385"/>
    <mergeCell ref="C386:D386"/>
    <mergeCell ref="E386:F386"/>
    <mergeCell ref="C387:D387"/>
    <mergeCell ref="E387:F387"/>
    <mergeCell ref="D375:D376"/>
    <mergeCell ref="E375:H375"/>
    <mergeCell ref="L375:L376"/>
    <mergeCell ref="C391:D391"/>
    <mergeCell ref="E391:F391"/>
    <mergeCell ref="C392:D392"/>
    <mergeCell ref="E392:F392"/>
    <mergeCell ref="C393:D393"/>
    <mergeCell ref="E393:F393"/>
    <mergeCell ref="C388:D388"/>
    <mergeCell ref="E388:F388"/>
    <mergeCell ref="C389:D389"/>
    <mergeCell ref="E389:F389"/>
    <mergeCell ref="C390:D390"/>
    <mergeCell ref="E390:F390"/>
    <mergeCell ref="C397:D397"/>
    <mergeCell ref="E397:F397"/>
    <mergeCell ref="C398:D398"/>
    <mergeCell ref="E398:F398"/>
    <mergeCell ref="C399:D399"/>
    <mergeCell ref="E399:F399"/>
    <mergeCell ref="C394:D394"/>
    <mergeCell ref="E394:F394"/>
    <mergeCell ref="C395:D395"/>
    <mergeCell ref="E395:F395"/>
    <mergeCell ref="C396:D396"/>
    <mergeCell ref="E396:F396"/>
    <mergeCell ref="H405:H406"/>
    <mergeCell ref="I405:K405"/>
    <mergeCell ref="L405:L406"/>
    <mergeCell ref="N405:N406"/>
    <mergeCell ref="P405:P406"/>
    <mergeCell ref="Q405:Q406"/>
    <mergeCell ref="I406:K406"/>
    <mergeCell ref="C400:D400"/>
    <mergeCell ref="E400:F400"/>
    <mergeCell ref="C401:D401"/>
    <mergeCell ref="E401:F401"/>
    <mergeCell ref="D405:D406"/>
    <mergeCell ref="E405:G405"/>
    <mergeCell ref="E406:G406"/>
    <mergeCell ref="C414:D414"/>
    <mergeCell ref="E414:F414"/>
    <mergeCell ref="D418:D419"/>
    <mergeCell ref="F418:F419"/>
    <mergeCell ref="H418:H419"/>
    <mergeCell ref="I418:I419"/>
    <mergeCell ref="C411:D411"/>
    <mergeCell ref="E411:F411"/>
    <mergeCell ref="C412:D412"/>
    <mergeCell ref="E412:F412"/>
    <mergeCell ref="C413:D413"/>
    <mergeCell ref="E413:F413"/>
    <mergeCell ref="F438:G438"/>
    <mergeCell ref="F448:H448"/>
    <mergeCell ref="C454:C455"/>
    <mergeCell ref="G454:G455"/>
    <mergeCell ref="H454:H455"/>
    <mergeCell ref="I454:I455"/>
    <mergeCell ref="N423:N424"/>
    <mergeCell ref="O423:O424"/>
    <mergeCell ref="D428:D429"/>
    <mergeCell ref="F428:F429"/>
    <mergeCell ref="H428:H429"/>
    <mergeCell ref="I428:I429"/>
    <mergeCell ref="K428:K429"/>
    <mergeCell ref="L428:L429"/>
    <mergeCell ref="N428:N429"/>
    <mergeCell ref="O428:O429"/>
    <mergeCell ref="D423:D424"/>
    <mergeCell ref="F423:F424"/>
    <mergeCell ref="H423:H424"/>
    <mergeCell ref="I423:I424"/>
    <mergeCell ref="K423:K424"/>
    <mergeCell ref="L423:L424"/>
    <mergeCell ref="J454:J455"/>
    <mergeCell ref="D455:F455"/>
    <mergeCell ref="F459:J459"/>
    <mergeCell ref="C465:C466"/>
    <mergeCell ref="G465:G466"/>
    <mergeCell ref="H465:H466"/>
    <mergeCell ref="I465:I466"/>
    <mergeCell ref="J465:J466"/>
    <mergeCell ref="D466:F466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workbookViewId="0"/>
  </sheetViews>
  <sheetFormatPr defaultColWidth="5.625" defaultRowHeight="12"/>
  <cols>
    <col min="1" max="16384" width="5.625" style="60"/>
  </cols>
  <sheetData>
    <row r="1" spans="1:20" ht="14.25" customHeight="1">
      <c r="A1" s="1" t="s">
        <v>448</v>
      </c>
    </row>
    <row r="2" spans="1:20" ht="14.25" customHeight="1"/>
    <row r="3" spans="1:20" ht="14.25" customHeight="1">
      <c r="B3" s="61" t="s">
        <v>449</v>
      </c>
    </row>
    <row r="4" spans="1:20" ht="14.25" customHeight="1"/>
    <row r="5" spans="1:20" ht="14.25" customHeight="1">
      <c r="B5" s="60" t="s">
        <v>450</v>
      </c>
    </row>
    <row r="6" spans="1:20" ht="14.25" customHeight="1"/>
    <row r="7" spans="1:20" ht="14.25" customHeight="1">
      <c r="C7" s="62" t="s">
        <v>394</v>
      </c>
      <c r="D7" s="93" t="s">
        <v>451</v>
      </c>
      <c r="E7" s="62" t="s">
        <v>86</v>
      </c>
      <c r="F7" s="62" t="s">
        <v>10</v>
      </c>
      <c r="G7" s="62" t="s">
        <v>19</v>
      </c>
      <c r="H7" s="9">
        <f>'[1]基本 (2)'!H22</f>
        <v>12</v>
      </c>
      <c r="I7" s="62" t="s">
        <v>86</v>
      </c>
      <c r="J7" s="9">
        <f>'[1]基本 (2)'!H12</f>
        <v>2.2999999999999998</v>
      </c>
      <c r="K7" s="62" t="s">
        <v>19</v>
      </c>
      <c r="L7" s="9">
        <f>H7+J7</f>
        <v>14.3</v>
      </c>
      <c r="M7" s="66" t="s">
        <v>6</v>
      </c>
      <c r="N7" s="62" t="s">
        <v>15</v>
      </c>
      <c r="O7" s="62" t="s">
        <v>394</v>
      </c>
      <c r="P7" s="73">
        <f>ROUNDUP(L7/5,0)*5</f>
        <v>15</v>
      </c>
      <c r="Q7" s="66" t="s">
        <v>452</v>
      </c>
      <c r="R7" s="62"/>
      <c r="S7" s="62"/>
    </row>
    <row r="8" spans="1:20" ht="14.25" customHeight="1">
      <c r="O8" s="60" t="s">
        <v>453</v>
      </c>
    </row>
    <row r="9" spans="1:20" ht="14.25" customHeight="1">
      <c r="C9" s="333" t="s">
        <v>454</v>
      </c>
      <c r="D9" s="333" t="s">
        <v>455</v>
      </c>
      <c r="E9" s="340">
        <v>10</v>
      </c>
      <c r="F9" s="340"/>
      <c r="G9" s="333" t="s">
        <v>19</v>
      </c>
      <c r="H9" s="333" t="s">
        <v>456</v>
      </c>
      <c r="I9" s="340">
        <v>10</v>
      </c>
      <c r="J9" s="340"/>
      <c r="K9" s="340"/>
      <c r="L9" s="340"/>
      <c r="M9" s="340"/>
      <c r="N9" s="340"/>
      <c r="O9" s="333" t="s">
        <v>19</v>
      </c>
      <c r="P9" s="331">
        <f>ROUND(DEGREES(ATAN(10/(1.5+K10/2))),1)</f>
        <v>79.900000000000006</v>
      </c>
      <c r="Q9" s="358" t="s">
        <v>457</v>
      </c>
      <c r="R9" s="333" t="str">
        <f>IF(P9&gt;S9,"＞","≦")</f>
        <v>＞</v>
      </c>
      <c r="S9" s="333">
        <v>75</v>
      </c>
      <c r="T9" s="358" t="s">
        <v>458</v>
      </c>
    </row>
    <row r="10" spans="1:20" ht="14.25" customHeight="1">
      <c r="C10" s="333"/>
      <c r="D10" s="333"/>
      <c r="E10" s="332" t="s">
        <v>459</v>
      </c>
      <c r="F10" s="332"/>
      <c r="G10" s="333"/>
      <c r="H10" s="333"/>
      <c r="I10" s="62">
        <v>1.5</v>
      </c>
      <c r="J10" s="75" t="s">
        <v>460</v>
      </c>
      <c r="K10" s="9">
        <f>'[1]基本 (2)'!L12</f>
        <v>0.57999999999999996</v>
      </c>
      <c r="L10" s="62" t="s">
        <v>461</v>
      </c>
      <c r="M10" s="62">
        <v>2</v>
      </c>
      <c r="N10" s="60" t="s">
        <v>462</v>
      </c>
      <c r="O10" s="333"/>
      <c r="P10" s="331"/>
      <c r="Q10" s="358"/>
      <c r="R10" s="333"/>
      <c r="S10" s="333"/>
      <c r="T10" s="358"/>
    </row>
    <row r="11" spans="1:20" ht="14.25" customHeight="1"/>
    <row r="12" spans="1:20" ht="14.25" customHeight="1">
      <c r="D12" s="62" t="s">
        <v>463</v>
      </c>
      <c r="E12" s="60" t="s">
        <v>464</v>
      </c>
    </row>
    <row r="13" spans="1:20" ht="14.25" customHeight="1"/>
    <row r="14" spans="1:20" ht="14.25" customHeight="1" thickBot="1">
      <c r="C14" s="62" t="s">
        <v>465</v>
      </c>
      <c r="D14" s="72">
        <f>IF(P9&gt;75,S9,P9)</f>
        <v>75</v>
      </c>
      <c r="E14" s="68" t="s">
        <v>457</v>
      </c>
    </row>
    <row r="15" spans="1:20" ht="14.25" customHeight="1"/>
    <row r="16" spans="1:20" ht="14.25" customHeight="1"/>
    <row r="17" spans="3:18" ht="14.25" customHeight="1">
      <c r="C17" s="60" t="s">
        <v>466</v>
      </c>
    </row>
    <row r="18" spans="3:18" ht="14.25" customHeight="1">
      <c r="D18" s="62" t="s">
        <v>467</v>
      </c>
      <c r="E18" s="60" t="s">
        <v>468</v>
      </c>
      <c r="J18" s="62" t="s">
        <v>469</v>
      </c>
      <c r="K18" s="356" t="s">
        <v>470</v>
      </c>
      <c r="L18" s="356"/>
      <c r="M18" s="62" t="s">
        <v>471</v>
      </c>
      <c r="N18" s="9">
        <f>'[1]基本 (2)'!E20</f>
        <v>20</v>
      </c>
      <c r="O18" s="60" t="s">
        <v>472</v>
      </c>
    </row>
    <row r="19" spans="3:18" ht="14.25" customHeight="1"/>
    <row r="20" spans="3:18" ht="14.25" customHeight="1">
      <c r="D20" s="62" t="s">
        <v>19</v>
      </c>
      <c r="E20" s="9">
        <f>N18</f>
        <v>20</v>
      </c>
      <c r="F20" s="62" t="s">
        <v>473</v>
      </c>
      <c r="G20" s="62">
        <v>2</v>
      </c>
      <c r="H20" s="62" t="s">
        <v>4</v>
      </c>
      <c r="I20" s="62">
        <v>5</v>
      </c>
    </row>
    <row r="21" spans="3:18" ht="14.25" customHeight="1"/>
    <row r="22" spans="3:18" ht="14.25" customHeight="1">
      <c r="D22" s="62" t="s">
        <v>19</v>
      </c>
      <c r="E22" s="9">
        <f>E20/2+5</f>
        <v>15</v>
      </c>
      <c r="F22" s="60" t="s">
        <v>474</v>
      </c>
      <c r="G22" s="62" t="s">
        <v>475</v>
      </c>
      <c r="H22" s="73">
        <f>IF(E22&lt;=8,8,ROUNDUP(E22,0))</f>
        <v>15</v>
      </c>
      <c r="I22" s="60" t="s">
        <v>474</v>
      </c>
    </row>
    <row r="23" spans="3:18" ht="14.25" customHeight="1"/>
    <row r="24" spans="3:18" ht="14.25" customHeight="1">
      <c r="C24" s="60" t="s">
        <v>476</v>
      </c>
    </row>
    <row r="25" spans="3:18" ht="14.25" customHeight="1">
      <c r="D25" s="62" t="s">
        <v>477</v>
      </c>
      <c r="E25" s="94" t="s">
        <v>478</v>
      </c>
      <c r="J25" s="62" t="s">
        <v>479</v>
      </c>
      <c r="K25" s="356" t="s">
        <v>480</v>
      </c>
      <c r="L25" s="356"/>
      <c r="M25" s="62" t="s">
        <v>481</v>
      </c>
      <c r="N25" s="69">
        <f>'[1]基本 (2)'!L10</f>
        <v>11</v>
      </c>
      <c r="O25" s="60" t="s">
        <v>482</v>
      </c>
      <c r="P25" s="62" t="str">
        <f>IF(N25&gt;Q25,"＞","≦")</f>
        <v>＞</v>
      </c>
      <c r="Q25" s="11">
        <v>8</v>
      </c>
      <c r="R25" s="60" t="s">
        <v>452</v>
      </c>
    </row>
    <row r="26" spans="3:18" ht="14.25" customHeight="1"/>
    <row r="27" spans="3:18" ht="14.25" customHeight="1">
      <c r="D27" s="62" t="s">
        <v>19</v>
      </c>
      <c r="E27" s="11">
        <v>-1</v>
      </c>
      <c r="F27" s="62" t="s">
        <v>483</v>
      </c>
      <c r="G27" s="9">
        <f>L7</f>
        <v>14.3</v>
      </c>
      <c r="H27" s="62" t="s">
        <v>4</v>
      </c>
      <c r="I27" s="62">
        <v>8</v>
      </c>
      <c r="J27" s="62" t="s">
        <v>484</v>
      </c>
      <c r="K27" s="62" t="s">
        <v>485</v>
      </c>
      <c r="L27" s="9">
        <f>D14</f>
        <v>75</v>
      </c>
      <c r="M27" s="62" t="s">
        <v>486</v>
      </c>
      <c r="N27" s="9">
        <f>IF(N25&lt;=Q25,N25,Q25)</f>
        <v>8</v>
      </c>
    </row>
    <row r="28" spans="3:18" ht="14.25" customHeight="1"/>
    <row r="29" spans="3:18" ht="14.25" customHeight="1">
      <c r="D29" s="62" t="s">
        <v>19</v>
      </c>
      <c r="E29" s="9">
        <f>ROUND(-1+(G27+8)*(1/TAN((RADIANS(L27))))+N27,1)</f>
        <v>13</v>
      </c>
      <c r="F29" s="60" t="s">
        <v>6</v>
      </c>
      <c r="G29" s="62" t="s">
        <v>487</v>
      </c>
      <c r="H29" s="73">
        <f>IF(E29&lt;=8,8,ROUNDUP(E29,0))</f>
        <v>13</v>
      </c>
      <c r="I29" s="66" t="s">
        <v>452</v>
      </c>
    </row>
    <row r="30" spans="3:18" ht="14.25" customHeight="1"/>
    <row r="31" spans="3:18" ht="14.25" customHeight="1" thickBot="1">
      <c r="C31" s="62" t="s">
        <v>488</v>
      </c>
      <c r="D31" s="43">
        <f>MAX(H22,H29)</f>
        <v>15</v>
      </c>
      <c r="E31" s="68" t="s">
        <v>452</v>
      </c>
      <c r="F31" s="357" t="s">
        <v>489</v>
      </c>
      <c r="G31" s="357"/>
    </row>
    <row r="32" spans="3:18" ht="14.25" customHeight="1"/>
    <row r="33" spans="2:16" ht="14.25" customHeight="1"/>
    <row r="34" spans="2:16" ht="14.25" customHeight="1">
      <c r="B34" s="60" t="s">
        <v>490</v>
      </c>
    </row>
    <row r="35" spans="2:16" ht="14.25" customHeight="1"/>
    <row r="36" spans="2:16" ht="14.25" customHeight="1" thickBot="1">
      <c r="C36" s="62" t="s">
        <v>491</v>
      </c>
      <c r="D36" s="332" t="s">
        <v>492</v>
      </c>
      <c r="E36" s="332"/>
      <c r="F36" s="332"/>
      <c r="G36" s="62" t="s">
        <v>481</v>
      </c>
      <c r="H36" s="9">
        <f>'[1]基本 (2)'!P30</f>
        <v>8.3000000000000007</v>
      </c>
      <c r="I36" s="62" t="s">
        <v>493</v>
      </c>
      <c r="J36" s="89">
        <v>0.8</v>
      </c>
      <c r="K36" s="62" t="s">
        <v>481</v>
      </c>
      <c r="L36" s="69">
        <f>H36+J36</f>
        <v>9.1000000000000014</v>
      </c>
      <c r="M36" s="60" t="s">
        <v>494</v>
      </c>
      <c r="N36" s="62" t="s">
        <v>495</v>
      </c>
      <c r="O36" s="95">
        <f>ROUNDUP(L36,0)</f>
        <v>10</v>
      </c>
      <c r="P36" s="68" t="s">
        <v>496</v>
      </c>
    </row>
    <row r="37" spans="2:16" ht="14.25" customHeight="1"/>
    <row r="38" spans="2:16" ht="14.25" customHeight="1">
      <c r="C38" s="332" t="s">
        <v>497</v>
      </c>
      <c r="D38" s="332"/>
      <c r="E38" s="332"/>
      <c r="F38" s="332"/>
      <c r="G38" s="332"/>
      <c r="H38" s="332"/>
      <c r="I38" s="355" t="str">
        <f>IF($P$7&lt;=5,"表2-3-2",IF($P$7&lt;=10,"表2-3-3",IF($P$7&lt;=15,"表2-3-4",IF($P$7&lt;=20,"表2-3-5",IF($P$7&lt;=25,"表2-3-6","表2-3-7")))))</f>
        <v>表2-3-4</v>
      </c>
      <c r="J38" s="355"/>
      <c r="K38" s="60" t="s">
        <v>498</v>
      </c>
    </row>
    <row r="39" spans="2:16" ht="14.25" customHeight="1"/>
    <row r="40" spans="2:16" ht="14.25" customHeight="1" thickBot="1">
      <c r="D40" s="72">
        <v>100</v>
      </c>
      <c r="E40" s="68" t="str">
        <f>IF(D40&gt;=100,"ｔ吊りトラッククレーン（油圧式）を使用","ｔ吊りトラッククレーン（ラフテレーンクレーン）を使用")</f>
        <v>ｔ吊りトラッククレーン（油圧式）を使用</v>
      </c>
      <c r="F40" s="68"/>
      <c r="G40" s="68"/>
      <c r="H40" s="68"/>
      <c r="I40" s="68"/>
      <c r="J40" s="68"/>
      <c r="K40" s="68"/>
    </row>
    <row r="41" spans="2:16" ht="14.25" customHeight="1"/>
    <row r="42" spans="2:16" ht="14.25" customHeight="1"/>
    <row r="43" spans="2:16" ht="14.25" customHeight="1">
      <c r="B43" s="61" t="s">
        <v>499</v>
      </c>
    </row>
    <row r="44" spans="2:16" ht="14.25" customHeight="1"/>
    <row r="45" spans="2:16" ht="14.25" customHeight="1">
      <c r="B45" s="60" t="s">
        <v>450</v>
      </c>
    </row>
    <row r="46" spans="2:16" ht="14.25" customHeight="1"/>
    <row r="47" spans="2:16" ht="14.25" customHeight="1">
      <c r="C47" s="62" t="s">
        <v>394</v>
      </c>
      <c r="D47" s="9">
        <f>H7</f>
        <v>12</v>
      </c>
      <c r="E47" s="60" t="s">
        <v>6</v>
      </c>
      <c r="F47" s="62" t="s">
        <v>500</v>
      </c>
      <c r="G47" s="73">
        <f>ROUNDUP(D47/5,0)*5</f>
        <v>15</v>
      </c>
      <c r="H47" s="66" t="s">
        <v>6</v>
      </c>
      <c r="I47" s="62"/>
      <c r="J47" s="62"/>
    </row>
    <row r="48" spans="2:16" ht="14.25" customHeight="1">
      <c r="G48" s="60" t="s">
        <v>453</v>
      </c>
    </row>
    <row r="49" spans="3:15" ht="14.25" customHeight="1">
      <c r="C49" s="62" t="s">
        <v>244</v>
      </c>
      <c r="D49" s="9">
        <f>K49</f>
        <v>0.6</v>
      </c>
      <c r="E49" s="62" t="str">
        <f>IF(D49&lt;=F49,"≦","＞")</f>
        <v>≦</v>
      </c>
      <c r="F49" s="11">
        <v>2</v>
      </c>
      <c r="H49" s="60" t="s">
        <v>501</v>
      </c>
      <c r="J49" s="62" t="s">
        <v>502</v>
      </c>
      <c r="K49" s="42">
        <v>0.6</v>
      </c>
      <c r="L49" s="60" t="s">
        <v>503</v>
      </c>
    </row>
    <row r="50" spans="3:15" ht="14.25" customHeight="1"/>
    <row r="51" spans="3:15" ht="14.25" customHeight="1">
      <c r="C51" s="60" t="s">
        <v>504</v>
      </c>
    </row>
    <row r="52" spans="3:15" ht="14.25" customHeight="1">
      <c r="C52" s="62" t="s">
        <v>505</v>
      </c>
      <c r="D52" s="9">
        <f>'[1]基本 (2)'!L10</f>
        <v>11</v>
      </c>
      <c r="E52" s="60" t="s">
        <v>506</v>
      </c>
      <c r="F52" s="62" t="str">
        <f>IF(D52&lt;=G52,"≦","＞")</f>
        <v>＞</v>
      </c>
      <c r="G52" s="11">
        <v>8</v>
      </c>
      <c r="H52" s="60" t="s">
        <v>474</v>
      </c>
    </row>
    <row r="53" spans="3:15" ht="14.25" customHeight="1"/>
    <row r="54" spans="3:15" ht="14.25" customHeight="1">
      <c r="C54" s="60" t="s">
        <v>507</v>
      </c>
    </row>
    <row r="55" spans="3:15" ht="14.25" customHeight="1"/>
    <row r="56" spans="3:15" ht="14.25" customHeight="1">
      <c r="C56" s="62" t="s">
        <v>258</v>
      </c>
      <c r="D56" s="60" t="s">
        <v>508</v>
      </c>
    </row>
    <row r="57" spans="3:15" ht="14.25" customHeight="1"/>
    <row r="58" spans="3:15" ht="14.25" customHeight="1">
      <c r="C58" s="75" t="s">
        <v>509</v>
      </c>
      <c r="D58" s="42">
        <v>7</v>
      </c>
      <c r="E58" s="62" t="s">
        <v>461</v>
      </c>
      <c r="F58" s="62">
        <v>2</v>
      </c>
      <c r="G58" s="8" t="s">
        <v>510</v>
      </c>
      <c r="H58" s="42">
        <v>2</v>
      </c>
      <c r="I58" s="62" t="s">
        <v>461</v>
      </c>
      <c r="J58" s="62">
        <v>2</v>
      </c>
      <c r="K58" s="62" t="s">
        <v>511</v>
      </c>
      <c r="L58" s="42">
        <v>1</v>
      </c>
      <c r="M58" s="62" t="s">
        <v>512</v>
      </c>
      <c r="N58" s="11">
        <v>0.5</v>
      </c>
    </row>
    <row r="59" spans="3:15" ht="14.25" customHeight="1"/>
    <row r="60" spans="3:15" ht="14.25" customHeight="1">
      <c r="C60" s="62" t="s">
        <v>513</v>
      </c>
      <c r="D60" s="9">
        <f>D58/F58+H58/J58+L58+N58</f>
        <v>6</v>
      </c>
      <c r="E60" s="60" t="s">
        <v>474</v>
      </c>
    </row>
    <row r="61" spans="3:15" ht="14.25" customHeight="1"/>
    <row r="62" spans="3:15" ht="14.25" customHeight="1" thickBot="1">
      <c r="C62" s="62" t="s">
        <v>477</v>
      </c>
      <c r="D62" s="332" t="s">
        <v>514</v>
      </c>
      <c r="E62" s="332"/>
      <c r="F62" s="62" t="s">
        <v>471</v>
      </c>
      <c r="G62" s="9">
        <f>IF(D52&lt;=G52,D52,G52)</f>
        <v>8</v>
      </c>
      <c r="H62" s="62" t="s">
        <v>512</v>
      </c>
      <c r="I62" s="9">
        <f>D60</f>
        <v>6</v>
      </c>
      <c r="J62" s="62" t="s">
        <v>471</v>
      </c>
      <c r="K62" s="9">
        <f>G62+I62</f>
        <v>14</v>
      </c>
      <c r="L62" s="60" t="s">
        <v>506</v>
      </c>
      <c r="M62" s="62" t="s">
        <v>515</v>
      </c>
      <c r="N62" s="95">
        <f>IF(K62&lt;=8,8,ROUNDUP(K62,0))</f>
        <v>14</v>
      </c>
      <c r="O62" s="68" t="s">
        <v>506</v>
      </c>
    </row>
    <row r="63" spans="3:15" ht="14.25" customHeight="1"/>
    <row r="64" spans="3:15" ht="14.25" customHeight="1" thickBot="1">
      <c r="C64" s="62" t="s">
        <v>516</v>
      </c>
      <c r="D64" s="43">
        <f>N62</f>
        <v>14</v>
      </c>
      <c r="E64" s="68" t="s">
        <v>517</v>
      </c>
    </row>
    <row r="65" spans="2:11" ht="14.25" customHeight="1"/>
    <row r="66" spans="2:11" ht="14.25" customHeight="1"/>
    <row r="67" spans="2:11" ht="14.25" customHeight="1">
      <c r="B67" s="60" t="s">
        <v>518</v>
      </c>
    </row>
    <row r="68" spans="2:11" ht="14.25" customHeight="1"/>
    <row r="69" spans="2:11" ht="14.25" customHeight="1">
      <c r="C69" s="60" t="s">
        <v>519</v>
      </c>
    </row>
    <row r="70" spans="2:11" ht="14.25" customHeight="1"/>
    <row r="71" spans="2:11" ht="14.25" customHeight="1">
      <c r="C71" s="62" t="s">
        <v>491</v>
      </c>
      <c r="D71" s="60" t="s">
        <v>520</v>
      </c>
    </row>
    <row r="72" spans="2:11" ht="14.25" customHeight="1"/>
    <row r="73" spans="2:11" ht="14.25" customHeight="1">
      <c r="C73" s="75" t="s">
        <v>521</v>
      </c>
      <c r="D73" s="42">
        <v>1</v>
      </c>
      <c r="E73" s="62" t="s">
        <v>522</v>
      </c>
      <c r="F73" s="62">
        <v>2</v>
      </c>
      <c r="G73" s="62" t="s">
        <v>511</v>
      </c>
      <c r="H73" s="42">
        <v>0.5</v>
      </c>
      <c r="I73" s="62" t="s">
        <v>523</v>
      </c>
      <c r="J73" s="42">
        <v>0.5</v>
      </c>
    </row>
    <row r="74" spans="2:11" ht="14.25" customHeight="1"/>
    <row r="75" spans="2:11" ht="14.25" customHeight="1" thickBot="1">
      <c r="C75" s="62" t="s">
        <v>19</v>
      </c>
      <c r="D75" s="9">
        <f>(D73*F73)+H73+J73</f>
        <v>3</v>
      </c>
      <c r="E75" s="60" t="s">
        <v>20</v>
      </c>
      <c r="F75" s="62" t="s">
        <v>515</v>
      </c>
      <c r="G75" s="95">
        <f>ROUNDUP(D75,0)</f>
        <v>3</v>
      </c>
      <c r="H75" s="68" t="s">
        <v>524</v>
      </c>
    </row>
    <row r="76" spans="2:11" ht="14.25" customHeight="1"/>
    <row r="77" spans="2:11" ht="14.25" customHeight="1"/>
    <row r="78" spans="2:11" ht="14.25" customHeight="1">
      <c r="C78" s="332" t="s">
        <v>525</v>
      </c>
      <c r="D78" s="332"/>
      <c r="E78" s="332"/>
      <c r="F78" s="332"/>
      <c r="G78" s="332"/>
      <c r="H78" s="332"/>
      <c r="I78" s="355" t="str">
        <f>IF($G$47&lt;=5,"表2-3-2",IF($G$47&lt;=10,"表2-3-3",IF($G$47&lt;=15,"表2-3-4",IF($G$47&lt;=20,"表2-3-5",IF($G$47&lt;=25,"表2-3-6","表2-3-7")))))</f>
        <v>表2-3-4</v>
      </c>
      <c r="J78" s="355"/>
      <c r="K78" s="60" t="s">
        <v>526</v>
      </c>
    </row>
    <row r="79" spans="2:11" ht="14.25" customHeight="1"/>
    <row r="80" spans="2:11" ht="14.25" customHeight="1" thickBot="1">
      <c r="D80" s="72">
        <v>25</v>
      </c>
      <c r="E80" s="68" t="str">
        <f>IF(D80&gt;100,"ｔ吊りトラッククレーン（油圧式）を使用","ｔ吊りトラッククレーン（ラフテレーンクレーン）を使用")</f>
        <v>ｔ吊りトラッククレーン（ラフテレーンクレーン）を使用</v>
      </c>
      <c r="F80" s="68"/>
      <c r="G80" s="68"/>
      <c r="H80" s="68"/>
      <c r="I80" s="68"/>
      <c r="J80" s="68"/>
      <c r="K80" s="68"/>
    </row>
    <row r="81" spans="2:11" ht="14.25" customHeight="1"/>
    <row r="82" spans="2:11" ht="14.25" customHeight="1"/>
    <row r="83" spans="2:11" ht="14.25" hidden="1" customHeight="1">
      <c r="B83" s="61" t="s">
        <v>527</v>
      </c>
    </row>
    <row r="84" spans="2:11" ht="14.25" hidden="1" customHeight="1"/>
    <row r="85" spans="2:11" ht="14.25" hidden="1" customHeight="1">
      <c r="C85" s="356" t="s">
        <v>528</v>
      </c>
      <c r="D85" s="356"/>
      <c r="E85" s="62" t="s">
        <v>529</v>
      </c>
      <c r="F85" s="9">
        <f>MAX('[1]基本 (2)'!D53:D82)</f>
        <v>12</v>
      </c>
      <c r="G85" s="60" t="s">
        <v>506</v>
      </c>
    </row>
    <row r="86" spans="2:11" ht="14.25" hidden="1" customHeight="1"/>
    <row r="87" spans="2:11" ht="14.25" hidden="1" customHeight="1">
      <c r="D87" s="95">
        <f>IF(F85&lt;=7,35,IF(F85&lt;=15,50,IF(F85&lt;=21,100,120)))</f>
        <v>50</v>
      </c>
      <c r="E87" s="68" t="str">
        <f>IF(D87&gt;100,"ｔ吊りトラッククレーン（油圧式）を使用","ｔ吊りトラッククレーン（ラフテレーンクレーン）を使用")</f>
        <v>ｔ吊りトラッククレーン（ラフテレーンクレーン）を使用</v>
      </c>
      <c r="F87" s="68"/>
      <c r="G87" s="68"/>
      <c r="H87" s="68"/>
      <c r="I87" s="68"/>
      <c r="J87" s="68"/>
      <c r="K87" s="68"/>
    </row>
    <row r="88" spans="2:11" ht="14.25" hidden="1" customHeight="1"/>
    <row r="89" spans="2:11" ht="14.25" hidden="1" customHeight="1"/>
    <row r="90" spans="2:11" ht="14.25" hidden="1" customHeight="1">
      <c r="B90" s="61" t="s">
        <v>530</v>
      </c>
    </row>
    <row r="91" spans="2:11" ht="14.25" hidden="1" customHeight="1"/>
    <row r="92" spans="2:11" ht="14.25" hidden="1" customHeight="1">
      <c r="C92" s="356" t="s">
        <v>528</v>
      </c>
      <c r="D92" s="356"/>
      <c r="E92" s="62" t="s">
        <v>531</v>
      </c>
      <c r="F92" s="9">
        <f>MAX('[1]基本 (2)'!D53:D82)</f>
        <v>12</v>
      </c>
      <c r="G92" s="60" t="s">
        <v>532</v>
      </c>
    </row>
    <row r="93" spans="2:11" ht="14.25" hidden="1" customHeight="1"/>
    <row r="94" spans="2:11" ht="14.25" hidden="1" customHeight="1">
      <c r="D94" s="95">
        <f>IF(F92&lt;=15,50,IF(F92&lt;=30,100,120))</f>
        <v>50</v>
      </c>
      <c r="E94" s="68" t="str">
        <f>IF(D94&gt;100,"ｔ吊りトラッククレーン（油圧式）を使用","ｔ吊りトラッククレーン（ラフテレーンクレーン）を使用")</f>
        <v>ｔ吊りトラッククレーン（ラフテレーンクレーン）を使用</v>
      </c>
      <c r="F94" s="68"/>
      <c r="G94" s="68"/>
      <c r="H94" s="68"/>
      <c r="I94" s="68"/>
      <c r="J94" s="68"/>
      <c r="K94" s="68"/>
    </row>
  </sheetData>
  <mergeCells count="24">
    <mergeCell ref="T9:T10"/>
    <mergeCell ref="C9:C10"/>
    <mergeCell ref="D9:D10"/>
    <mergeCell ref="E9:F9"/>
    <mergeCell ref="G9:G10"/>
    <mergeCell ref="H9:H10"/>
    <mergeCell ref="I9:N9"/>
    <mergeCell ref="E10:F10"/>
    <mergeCell ref="O9:O10"/>
    <mergeCell ref="P9:P10"/>
    <mergeCell ref="Q9:Q10"/>
    <mergeCell ref="R9:R10"/>
    <mergeCell ref="S9:S10"/>
    <mergeCell ref="K18:L18"/>
    <mergeCell ref="K25:L25"/>
    <mergeCell ref="F31:G31"/>
    <mergeCell ref="D36:F36"/>
    <mergeCell ref="C38:H38"/>
    <mergeCell ref="I38:J38"/>
    <mergeCell ref="D62:E62"/>
    <mergeCell ref="C78:H78"/>
    <mergeCell ref="I78:J78"/>
    <mergeCell ref="C85:D85"/>
    <mergeCell ref="C92:D92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A2" sqref="A2"/>
    </sheetView>
  </sheetViews>
  <sheetFormatPr defaultColWidth="5.625" defaultRowHeight="14.25" customHeight="1"/>
  <cols>
    <col min="1" max="9" width="5.625" style="98" customWidth="1"/>
    <col min="10" max="13" width="5.625" style="98" hidden="1" customWidth="1"/>
    <col min="14" max="256" width="5.625" style="98"/>
    <col min="257" max="265" width="5.625" style="98" customWidth="1"/>
    <col min="266" max="269" width="0" style="98" hidden="1" customWidth="1"/>
    <col min="270" max="512" width="5.625" style="98"/>
    <col min="513" max="521" width="5.625" style="98" customWidth="1"/>
    <col min="522" max="525" width="0" style="98" hidden="1" customWidth="1"/>
    <col min="526" max="768" width="5.625" style="98"/>
    <col min="769" max="777" width="5.625" style="98" customWidth="1"/>
    <col min="778" max="781" width="0" style="98" hidden="1" customWidth="1"/>
    <col min="782" max="1024" width="5.625" style="98"/>
    <col min="1025" max="1033" width="5.625" style="98" customWidth="1"/>
    <col min="1034" max="1037" width="0" style="98" hidden="1" customWidth="1"/>
    <col min="1038" max="1280" width="5.625" style="98"/>
    <col min="1281" max="1289" width="5.625" style="98" customWidth="1"/>
    <col min="1290" max="1293" width="0" style="98" hidden="1" customWidth="1"/>
    <col min="1294" max="1536" width="5.625" style="98"/>
    <col min="1537" max="1545" width="5.625" style="98" customWidth="1"/>
    <col min="1546" max="1549" width="0" style="98" hidden="1" customWidth="1"/>
    <col min="1550" max="1792" width="5.625" style="98"/>
    <col min="1793" max="1801" width="5.625" style="98" customWidth="1"/>
    <col min="1802" max="1805" width="0" style="98" hidden="1" customWidth="1"/>
    <col min="1806" max="2048" width="5.625" style="98"/>
    <col min="2049" max="2057" width="5.625" style="98" customWidth="1"/>
    <col min="2058" max="2061" width="0" style="98" hidden="1" customWidth="1"/>
    <col min="2062" max="2304" width="5.625" style="98"/>
    <col min="2305" max="2313" width="5.625" style="98" customWidth="1"/>
    <col min="2314" max="2317" width="0" style="98" hidden="1" customWidth="1"/>
    <col min="2318" max="2560" width="5.625" style="98"/>
    <col min="2561" max="2569" width="5.625" style="98" customWidth="1"/>
    <col min="2570" max="2573" width="0" style="98" hidden="1" customWidth="1"/>
    <col min="2574" max="2816" width="5.625" style="98"/>
    <col min="2817" max="2825" width="5.625" style="98" customWidth="1"/>
    <col min="2826" max="2829" width="0" style="98" hidden="1" customWidth="1"/>
    <col min="2830" max="3072" width="5.625" style="98"/>
    <col min="3073" max="3081" width="5.625" style="98" customWidth="1"/>
    <col min="3082" max="3085" width="0" style="98" hidden="1" customWidth="1"/>
    <col min="3086" max="3328" width="5.625" style="98"/>
    <col min="3329" max="3337" width="5.625" style="98" customWidth="1"/>
    <col min="3338" max="3341" width="0" style="98" hidden="1" customWidth="1"/>
    <col min="3342" max="3584" width="5.625" style="98"/>
    <col min="3585" max="3593" width="5.625" style="98" customWidth="1"/>
    <col min="3594" max="3597" width="0" style="98" hidden="1" customWidth="1"/>
    <col min="3598" max="3840" width="5.625" style="98"/>
    <col min="3841" max="3849" width="5.625" style="98" customWidth="1"/>
    <col min="3850" max="3853" width="0" style="98" hidden="1" customWidth="1"/>
    <col min="3854" max="4096" width="5.625" style="98"/>
    <col min="4097" max="4105" width="5.625" style="98" customWidth="1"/>
    <col min="4106" max="4109" width="0" style="98" hidden="1" customWidth="1"/>
    <col min="4110" max="4352" width="5.625" style="98"/>
    <col min="4353" max="4361" width="5.625" style="98" customWidth="1"/>
    <col min="4362" max="4365" width="0" style="98" hidden="1" customWidth="1"/>
    <col min="4366" max="4608" width="5.625" style="98"/>
    <col min="4609" max="4617" width="5.625" style="98" customWidth="1"/>
    <col min="4618" max="4621" width="0" style="98" hidden="1" customWidth="1"/>
    <col min="4622" max="4864" width="5.625" style="98"/>
    <col min="4865" max="4873" width="5.625" style="98" customWidth="1"/>
    <col min="4874" max="4877" width="0" style="98" hidden="1" customWidth="1"/>
    <col min="4878" max="5120" width="5.625" style="98"/>
    <col min="5121" max="5129" width="5.625" style="98" customWidth="1"/>
    <col min="5130" max="5133" width="0" style="98" hidden="1" customWidth="1"/>
    <col min="5134" max="5376" width="5.625" style="98"/>
    <col min="5377" max="5385" width="5.625" style="98" customWidth="1"/>
    <col min="5386" max="5389" width="0" style="98" hidden="1" customWidth="1"/>
    <col min="5390" max="5632" width="5.625" style="98"/>
    <col min="5633" max="5641" width="5.625" style="98" customWidth="1"/>
    <col min="5642" max="5645" width="0" style="98" hidden="1" customWidth="1"/>
    <col min="5646" max="5888" width="5.625" style="98"/>
    <col min="5889" max="5897" width="5.625" style="98" customWidth="1"/>
    <col min="5898" max="5901" width="0" style="98" hidden="1" customWidth="1"/>
    <col min="5902" max="6144" width="5.625" style="98"/>
    <col min="6145" max="6153" width="5.625" style="98" customWidth="1"/>
    <col min="6154" max="6157" width="0" style="98" hidden="1" customWidth="1"/>
    <col min="6158" max="6400" width="5.625" style="98"/>
    <col min="6401" max="6409" width="5.625" style="98" customWidth="1"/>
    <col min="6410" max="6413" width="0" style="98" hidden="1" customWidth="1"/>
    <col min="6414" max="6656" width="5.625" style="98"/>
    <col min="6657" max="6665" width="5.625" style="98" customWidth="1"/>
    <col min="6666" max="6669" width="0" style="98" hidden="1" customWidth="1"/>
    <col min="6670" max="6912" width="5.625" style="98"/>
    <col min="6913" max="6921" width="5.625" style="98" customWidth="1"/>
    <col min="6922" max="6925" width="0" style="98" hidden="1" customWidth="1"/>
    <col min="6926" max="7168" width="5.625" style="98"/>
    <col min="7169" max="7177" width="5.625" style="98" customWidth="1"/>
    <col min="7178" max="7181" width="0" style="98" hidden="1" customWidth="1"/>
    <col min="7182" max="7424" width="5.625" style="98"/>
    <col min="7425" max="7433" width="5.625" style="98" customWidth="1"/>
    <col min="7434" max="7437" width="0" style="98" hidden="1" customWidth="1"/>
    <col min="7438" max="7680" width="5.625" style="98"/>
    <col min="7681" max="7689" width="5.625" style="98" customWidth="1"/>
    <col min="7690" max="7693" width="0" style="98" hidden="1" customWidth="1"/>
    <col min="7694" max="7936" width="5.625" style="98"/>
    <col min="7937" max="7945" width="5.625" style="98" customWidth="1"/>
    <col min="7946" max="7949" width="0" style="98" hidden="1" customWidth="1"/>
    <col min="7950" max="8192" width="5.625" style="98"/>
    <col min="8193" max="8201" width="5.625" style="98" customWidth="1"/>
    <col min="8202" max="8205" width="0" style="98" hidden="1" customWidth="1"/>
    <col min="8206" max="8448" width="5.625" style="98"/>
    <col min="8449" max="8457" width="5.625" style="98" customWidth="1"/>
    <col min="8458" max="8461" width="0" style="98" hidden="1" customWidth="1"/>
    <col min="8462" max="8704" width="5.625" style="98"/>
    <col min="8705" max="8713" width="5.625" style="98" customWidth="1"/>
    <col min="8714" max="8717" width="0" style="98" hidden="1" customWidth="1"/>
    <col min="8718" max="8960" width="5.625" style="98"/>
    <col min="8961" max="8969" width="5.625" style="98" customWidth="1"/>
    <col min="8970" max="8973" width="0" style="98" hidden="1" customWidth="1"/>
    <col min="8974" max="9216" width="5.625" style="98"/>
    <col min="9217" max="9225" width="5.625" style="98" customWidth="1"/>
    <col min="9226" max="9229" width="0" style="98" hidden="1" customWidth="1"/>
    <col min="9230" max="9472" width="5.625" style="98"/>
    <col min="9473" max="9481" width="5.625" style="98" customWidth="1"/>
    <col min="9482" max="9485" width="0" style="98" hidden="1" customWidth="1"/>
    <col min="9486" max="9728" width="5.625" style="98"/>
    <col min="9729" max="9737" width="5.625" style="98" customWidth="1"/>
    <col min="9738" max="9741" width="0" style="98" hidden="1" customWidth="1"/>
    <col min="9742" max="9984" width="5.625" style="98"/>
    <col min="9985" max="9993" width="5.625" style="98" customWidth="1"/>
    <col min="9994" max="9997" width="0" style="98" hidden="1" customWidth="1"/>
    <col min="9998" max="10240" width="5.625" style="98"/>
    <col min="10241" max="10249" width="5.625" style="98" customWidth="1"/>
    <col min="10250" max="10253" width="0" style="98" hidden="1" customWidth="1"/>
    <col min="10254" max="10496" width="5.625" style="98"/>
    <col min="10497" max="10505" width="5.625" style="98" customWidth="1"/>
    <col min="10506" max="10509" width="0" style="98" hidden="1" customWidth="1"/>
    <col min="10510" max="10752" width="5.625" style="98"/>
    <col min="10753" max="10761" width="5.625" style="98" customWidth="1"/>
    <col min="10762" max="10765" width="0" style="98" hidden="1" customWidth="1"/>
    <col min="10766" max="11008" width="5.625" style="98"/>
    <col min="11009" max="11017" width="5.625" style="98" customWidth="1"/>
    <col min="11018" max="11021" width="0" style="98" hidden="1" customWidth="1"/>
    <col min="11022" max="11264" width="5.625" style="98"/>
    <col min="11265" max="11273" width="5.625" style="98" customWidth="1"/>
    <col min="11274" max="11277" width="0" style="98" hidden="1" customWidth="1"/>
    <col min="11278" max="11520" width="5.625" style="98"/>
    <col min="11521" max="11529" width="5.625" style="98" customWidth="1"/>
    <col min="11530" max="11533" width="0" style="98" hidden="1" customWidth="1"/>
    <col min="11534" max="11776" width="5.625" style="98"/>
    <col min="11777" max="11785" width="5.625" style="98" customWidth="1"/>
    <col min="11786" max="11789" width="0" style="98" hidden="1" customWidth="1"/>
    <col min="11790" max="12032" width="5.625" style="98"/>
    <col min="12033" max="12041" width="5.625" style="98" customWidth="1"/>
    <col min="12042" max="12045" width="0" style="98" hidden="1" customWidth="1"/>
    <col min="12046" max="12288" width="5.625" style="98"/>
    <col min="12289" max="12297" width="5.625" style="98" customWidth="1"/>
    <col min="12298" max="12301" width="0" style="98" hidden="1" customWidth="1"/>
    <col min="12302" max="12544" width="5.625" style="98"/>
    <col min="12545" max="12553" width="5.625" style="98" customWidth="1"/>
    <col min="12554" max="12557" width="0" style="98" hidden="1" customWidth="1"/>
    <col min="12558" max="12800" width="5.625" style="98"/>
    <col min="12801" max="12809" width="5.625" style="98" customWidth="1"/>
    <col min="12810" max="12813" width="0" style="98" hidden="1" customWidth="1"/>
    <col min="12814" max="13056" width="5.625" style="98"/>
    <col min="13057" max="13065" width="5.625" style="98" customWidth="1"/>
    <col min="13066" max="13069" width="0" style="98" hidden="1" customWidth="1"/>
    <col min="13070" max="13312" width="5.625" style="98"/>
    <col min="13313" max="13321" width="5.625" style="98" customWidth="1"/>
    <col min="13322" max="13325" width="0" style="98" hidden="1" customWidth="1"/>
    <col min="13326" max="13568" width="5.625" style="98"/>
    <col min="13569" max="13577" width="5.625" style="98" customWidth="1"/>
    <col min="13578" max="13581" width="0" style="98" hidden="1" customWidth="1"/>
    <col min="13582" max="13824" width="5.625" style="98"/>
    <col min="13825" max="13833" width="5.625" style="98" customWidth="1"/>
    <col min="13834" max="13837" width="0" style="98" hidden="1" customWidth="1"/>
    <col min="13838" max="14080" width="5.625" style="98"/>
    <col min="14081" max="14089" width="5.625" style="98" customWidth="1"/>
    <col min="14090" max="14093" width="0" style="98" hidden="1" customWidth="1"/>
    <col min="14094" max="14336" width="5.625" style="98"/>
    <col min="14337" max="14345" width="5.625" style="98" customWidth="1"/>
    <col min="14346" max="14349" width="0" style="98" hidden="1" customWidth="1"/>
    <col min="14350" max="14592" width="5.625" style="98"/>
    <col min="14593" max="14601" width="5.625" style="98" customWidth="1"/>
    <col min="14602" max="14605" width="0" style="98" hidden="1" customWidth="1"/>
    <col min="14606" max="14848" width="5.625" style="98"/>
    <col min="14849" max="14857" width="5.625" style="98" customWidth="1"/>
    <col min="14858" max="14861" width="0" style="98" hidden="1" customWidth="1"/>
    <col min="14862" max="15104" width="5.625" style="98"/>
    <col min="15105" max="15113" width="5.625" style="98" customWidth="1"/>
    <col min="15114" max="15117" width="0" style="98" hidden="1" customWidth="1"/>
    <col min="15118" max="15360" width="5.625" style="98"/>
    <col min="15361" max="15369" width="5.625" style="98" customWidth="1"/>
    <col min="15370" max="15373" width="0" style="98" hidden="1" customWidth="1"/>
    <col min="15374" max="15616" width="5.625" style="98"/>
    <col min="15617" max="15625" width="5.625" style="98" customWidth="1"/>
    <col min="15626" max="15629" width="0" style="98" hidden="1" customWidth="1"/>
    <col min="15630" max="15872" width="5.625" style="98"/>
    <col min="15873" max="15881" width="5.625" style="98" customWidth="1"/>
    <col min="15882" max="15885" width="0" style="98" hidden="1" customWidth="1"/>
    <col min="15886" max="16128" width="5.625" style="98"/>
    <col min="16129" max="16137" width="5.625" style="98" customWidth="1"/>
    <col min="16138" max="16141" width="0" style="98" hidden="1" customWidth="1"/>
    <col min="16142" max="16384" width="5.625" style="98"/>
  </cols>
  <sheetData>
    <row r="1" spans="1:21" ht="14.25" customHeight="1">
      <c r="A1" s="97" t="s">
        <v>533</v>
      </c>
    </row>
    <row r="2" spans="1:21" ht="12"/>
    <row r="3" spans="1:21" ht="13.5">
      <c r="A3" s="99"/>
    </row>
    <row r="4" spans="1:21" ht="12"/>
    <row r="5" spans="1:21" ht="12"/>
    <row r="6" spans="1:21" ht="12">
      <c r="B6" s="367" t="s">
        <v>534</v>
      </c>
      <c r="C6" s="367"/>
      <c r="D6" s="367"/>
      <c r="E6" s="367"/>
      <c r="F6" s="367" t="s">
        <v>535</v>
      </c>
      <c r="G6" s="367"/>
      <c r="H6" s="367" t="s">
        <v>536</v>
      </c>
      <c r="I6" s="367"/>
      <c r="J6" s="367" t="s">
        <v>537</v>
      </c>
      <c r="K6" s="367"/>
      <c r="L6" s="367" t="s">
        <v>538</v>
      </c>
      <c r="M6" s="367"/>
      <c r="N6" s="366" t="s">
        <v>539</v>
      </c>
      <c r="O6" s="367"/>
      <c r="P6" s="366" t="s">
        <v>540</v>
      </c>
      <c r="Q6" s="367"/>
      <c r="R6" s="367" t="s">
        <v>541</v>
      </c>
      <c r="S6" s="367"/>
      <c r="T6" s="367" t="s">
        <v>542</v>
      </c>
      <c r="U6" s="367"/>
    </row>
    <row r="7" spans="1:21" ht="12">
      <c r="B7" s="365" t="s">
        <v>543</v>
      </c>
      <c r="C7" s="365"/>
      <c r="D7" s="365"/>
      <c r="E7" s="365"/>
      <c r="F7" s="361"/>
      <c r="G7" s="361"/>
      <c r="H7" s="359">
        <f>IF(ISERROR('[1]日数 (2)'!D58),0,'[1]日数 (2)'!D58)</f>
        <v>2.7</v>
      </c>
      <c r="I7" s="359"/>
      <c r="J7" s="364">
        <v>1</v>
      </c>
      <c r="K7" s="364"/>
      <c r="L7" s="359">
        <f>ROUNDDOWN('[1]日数表 (2)'!H7 / '[1]日数表 (2)'!J7,1)</f>
        <v>2.7</v>
      </c>
      <c r="M7" s="359"/>
      <c r="N7" s="359">
        <f>'[1]基本 (2)'!$F$105</f>
        <v>2.7</v>
      </c>
      <c r="O7" s="362"/>
      <c r="P7" s="362"/>
      <c r="Q7" s="362"/>
      <c r="R7" s="362"/>
      <c r="S7" s="362"/>
      <c r="T7" s="359">
        <f>'[1]基本 (2)'!$F$105</f>
        <v>2.7</v>
      </c>
      <c r="U7" s="362"/>
    </row>
    <row r="8" spans="1:21" ht="12">
      <c r="B8" s="365" t="s">
        <v>544</v>
      </c>
      <c r="C8" s="365"/>
      <c r="D8" s="365"/>
      <c r="E8" s="365"/>
      <c r="F8" s="361"/>
      <c r="G8" s="361"/>
      <c r="H8" s="359">
        <f>IF(ISERROR('[1]日数 (2)'!D120),0,'[1]日数 (2)'!D120)</f>
        <v>21.4</v>
      </c>
      <c r="I8" s="359"/>
      <c r="J8" s="364">
        <v>1</v>
      </c>
      <c r="K8" s="364"/>
      <c r="L8" s="359">
        <f>ROUNDDOWN('[1]日数表 (2)'!H8 / '[1]日数表 (2)'!J8,1)</f>
        <v>21.4</v>
      </c>
      <c r="M8" s="359"/>
      <c r="N8" s="359">
        <f>'[1]基本 (2)'!$F$106</f>
        <v>21.4</v>
      </c>
      <c r="O8" s="362"/>
      <c r="P8" s="362"/>
      <c r="Q8" s="362"/>
      <c r="R8" s="362"/>
      <c r="S8" s="362"/>
      <c r="T8" s="359">
        <f>'[1]基本 (2)'!$F$106</f>
        <v>21.4</v>
      </c>
      <c r="U8" s="362"/>
    </row>
    <row r="9" spans="1:21" ht="12">
      <c r="B9" s="365" t="s">
        <v>545</v>
      </c>
      <c r="C9" s="365"/>
      <c r="D9" s="365"/>
      <c r="E9" s="365"/>
      <c r="F9" s="361"/>
      <c r="G9" s="361"/>
      <c r="H9" s="359">
        <f>IF(ISERROR('[1]日数 (2)'!D141),0,'[1]日数 (2)'!D141)</f>
        <v>5.2</v>
      </c>
      <c r="I9" s="359"/>
      <c r="J9" s="364">
        <v>1</v>
      </c>
      <c r="K9" s="364"/>
      <c r="L9" s="359">
        <f>ROUNDDOWN('[1]日数表 (2)'!H9 / '[1]日数表 (2)'!J9,1)</f>
        <v>5.2</v>
      </c>
      <c r="M9" s="359"/>
      <c r="N9" s="359">
        <f>'[1]基本 (2)'!$F$107</f>
        <v>5.2</v>
      </c>
      <c r="O9" s="362"/>
      <c r="P9" s="359">
        <f>'[1]基本 (2)'!$F$107</f>
        <v>5.2</v>
      </c>
      <c r="Q9" s="362"/>
      <c r="R9" s="359">
        <f>'[1]基本 (2)'!$F$107</f>
        <v>5.2</v>
      </c>
      <c r="S9" s="362"/>
      <c r="T9" s="359">
        <f>'[1]基本 (2)'!$F$107</f>
        <v>5.2</v>
      </c>
      <c r="U9" s="362"/>
    </row>
    <row r="10" spans="1:21" ht="14.25" hidden="1" customHeight="1">
      <c r="B10" s="365" t="s">
        <v>546</v>
      </c>
      <c r="C10" s="365"/>
      <c r="D10" s="365"/>
      <c r="E10" s="365"/>
      <c r="F10" s="361"/>
      <c r="G10" s="361"/>
      <c r="H10" s="359"/>
      <c r="I10" s="359"/>
      <c r="J10" s="364"/>
      <c r="K10" s="364"/>
      <c r="L10" s="359">
        <v>0</v>
      </c>
      <c r="M10" s="359"/>
      <c r="N10" s="362"/>
      <c r="O10" s="362"/>
      <c r="P10" s="362"/>
      <c r="Q10" s="362"/>
      <c r="R10" s="362"/>
      <c r="S10" s="362"/>
      <c r="T10" s="362"/>
      <c r="U10" s="362"/>
    </row>
    <row r="11" spans="1:21" ht="12">
      <c r="B11" s="365" t="s">
        <v>547</v>
      </c>
      <c r="C11" s="365"/>
      <c r="D11" s="365"/>
      <c r="E11" s="365"/>
      <c r="F11" s="361"/>
      <c r="G11" s="361"/>
      <c r="H11" s="359">
        <f>IF(ISERROR('[1]日数 (2)'!D225),0,'[1]日数 (2)'!D225)</f>
        <v>12.5</v>
      </c>
      <c r="I11" s="359"/>
      <c r="J11" s="364">
        <v>1</v>
      </c>
      <c r="K11" s="364"/>
      <c r="L11" s="359">
        <f>ROUNDDOWN('[1]日数表 (2)'!H11 / '[1]日数表 (2)'!J11,1)</f>
        <v>12.5</v>
      </c>
      <c r="M11" s="359"/>
      <c r="N11" s="359">
        <f>'[1]基本 (2)'!$F$109</f>
        <v>12.5</v>
      </c>
      <c r="O11" s="362"/>
      <c r="P11" s="359">
        <f>'[1]基本 (2)'!$F$109</f>
        <v>12.5</v>
      </c>
      <c r="Q11" s="362"/>
      <c r="R11" s="359">
        <f>'[1]基本 (2)'!$F$109</f>
        <v>12.5</v>
      </c>
      <c r="S11" s="362"/>
      <c r="T11" s="359">
        <f>'[1]基本 (2)'!$F$109</f>
        <v>12.5</v>
      </c>
      <c r="U11" s="362"/>
    </row>
    <row r="12" spans="1:21" ht="14.25" hidden="1" customHeight="1">
      <c r="B12" s="365" t="s">
        <v>548</v>
      </c>
      <c r="C12" s="365"/>
      <c r="D12" s="365"/>
      <c r="E12" s="365"/>
      <c r="F12" s="361"/>
      <c r="G12" s="361"/>
      <c r="H12" s="359"/>
      <c r="I12" s="359"/>
      <c r="J12" s="364"/>
      <c r="K12" s="364"/>
      <c r="L12" s="359">
        <v>0</v>
      </c>
      <c r="M12" s="359"/>
      <c r="N12" s="362"/>
      <c r="O12" s="362"/>
      <c r="P12" s="362"/>
      <c r="Q12" s="362"/>
      <c r="R12" s="362"/>
      <c r="S12" s="362"/>
      <c r="T12" s="362"/>
      <c r="U12" s="362"/>
    </row>
    <row r="13" spans="1:21" ht="14.25" hidden="1" customHeight="1">
      <c r="B13" s="365" t="s">
        <v>549</v>
      </c>
      <c r="C13" s="365"/>
      <c r="D13" s="365"/>
      <c r="E13" s="365"/>
      <c r="F13" s="361"/>
      <c r="G13" s="361"/>
      <c r="H13" s="359"/>
      <c r="I13" s="359"/>
      <c r="J13" s="364"/>
      <c r="K13" s="364"/>
      <c r="L13" s="359">
        <v>0</v>
      </c>
      <c r="M13" s="359"/>
      <c r="N13" s="362"/>
      <c r="O13" s="362"/>
      <c r="P13" s="362"/>
      <c r="Q13" s="362"/>
      <c r="R13" s="362"/>
      <c r="S13" s="362"/>
      <c r="T13" s="362"/>
      <c r="U13" s="362"/>
    </row>
    <row r="14" spans="1:21" ht="12">
      <c r="B14" s="365" t="s">
        <v>550</v>
      </c>
      <c r="C14" s="365"/>
      <c r="D14" s="365"/>
      <c r="E14" s="365"/>
      <c r="F14" s="361"/>
      <c r="G14" s="361"/>
      <c r="H14" s="359">
        <f>IF(ISERROR('[1]日数 (2)'!D299),0,'[1]日数 (2)'!D299)</f>
        <v>8</v>
      </c>
      <c r="I14" s="359"/>
      <c r="J14" s="364">
        <v>1</v>
      </c>
      <c r="K14" s="364"/>
      <c r="L14" s="359">
        <f>ROUNDDOWN('[1]日数表 (2)'!H14 / '[1]日数表 (2)'!J14,1)</f>
        <v>8</v>
      </c>
      <c r="M14" s="359"/>
      <c r="N14" s="359">
        <f>'[1]基本 (2)'!$F$112</f>
        <v>8</v>
      </c>
      <c r="O14" s="362"/>
      <c r="P14" s="359">
        <f>'[1]基本 (2)'!$F$112</f>
        <v>8</v>
      </c>
      <c r="Q14" s="362"/>
      <c r="R14" s="359">
        <f>'[1]基本 (2)'!$F$112</f>
        <v>8</v>
      </c>
      <c r="S14" s="362"/>
      <c r="T14" s="359">
        <f>'[1]基本 (2)'!$F$112</f>
        <v>8</v>
      </c>
      <c r="U14" s="362"/>
    </row>
    <row r="15" spans="1:21" ht="12">
      <c r="B15" s="365" t="s">
        <v>551</v>
      </c>
      <c r="C15" s="365"/>
      <c r="D15" s="365"/>
      <c r="E15" s="365"/>
      <c r="F15" s="361"/>
      <c r="G15" s="361"/>
      <c r="H15" s="359">
        <f>IF(ISERROR('[1]日数 (2)'!D320),0,'[1]日数 (2)'!D320)</f>
        <v>8.1</v>
      </c>
      <c r="I15" s="359"/>
      <c r="J15" s="364">
        <v>1</v>
      </c>
      <c r="K15" s="364"/>
      <c r="L15" s="359">
        <f>ROUNDDOWN('[1]日数表 (2)'!H15 / '[1]日数表 (2)'!J15,1)</f>
        <v>8.1</v>
      </c>
      <c r="M15" s="359"/>
      <c r="N15" s="359">
        <f>'[1]基本 (2)'!$F$113</f>
        <v>8.1</v>
      </c>
      <c r="O15" s="362"/>
      <c r="P15" s="359">
        <f>'[1]基本 (2)'!$F$113</f>
        <v>8.1</v>
      </c>
      <c r="Q15" s="362"/>
      <c r="R15" s="359">
        <f>'[1]基本 (2)'!$F$113</f>
        <v>8.1</v>
      </c>
      <c r="S15" s="362"/>
      <c r="T15" s="359">
        <f>'[1]基本 (2)'!$F$113</f>
        <v>8.1</v>
      </c>
      <c r="U15" s="362"/>
    </row>
    <row r="16" spans="1:21" ht="12">
      <c r="B16" s="365" t="s">
        <v>552</v>
      </c>
      <c r="C16" s="365"/>
      <c r="D16" s="365"/>
      <c r="E16" s="365"/>
      <c r="F16" s="361"/>
      <c r="G16" s="361"/>
      <c r="H16" s="359">
        <f>IF(ISERROR('[1]日数 (2)'!D337),0,'[1]日数 (2)'!D337)</f>
        <v>2.5</v>
      </c>
      <c r="I16" s="359"/>
      <c r="J16" s="364">
        <v>1</v>
      </c>
      <c r="K16" s="364"/>
      <c r="L16" s="359">
        <f>ROUNDDOWN('[1]日数表 (2)'!H16 / '[1]日数表 (2)'!J16,1)</f>
        <v>2.5</v>
      </c>
      <c r="M16" s="359"/>
      <c r="N16" s="362"/>
      <c r="O16" s="362"/>
      <c r="P16" s="362"/>
      <c r="Q16" s="362"/>
      <c r="R16" s="359">
        <f>'[1]基本 (2)'!$F$114</f>
        <v>2.5</v>
      </c>
      <c r="S16" s="362"/>
      <c r="T16" s="359">
        <f>'[1]基本 (2)'!$F$114</f>
        <v>2.5</v>
      </c>
      <c r="U16" s="362"/>
    </row>
    <row r="17" spans="2:21" ht="12">
      <c r="B17" s="365" t="s">
        <v>553</v>
      </c>
      <c r="C17" s="365"/>
      <c r="D17" s="365"/>
      <c r="E17" s="365"/>
      <c r="F17" s="361"/>
      <c r="G17" s="361"/>
      <c r="H17" s="359">
        <f>SUM(H18:H21)</f>
        <v>25.4</v>
      </c>
      <c r="I17" s="359"/>
      <c r="J17" s="364">
        <f>SUM(J18:J22)</f>
        <v>0</v>
      </c>
      <c r="K17" s="364"/>
      <c r="L17" s="359">
        <f>SUM(L18:L22)</f>
        <v>0</v>
      </c>
      <c r="M17" s="359"/>
      <c r="N17" s="362"/>
      <c r="O17" s="362"/>
      <c r="P17" s="362"/>
      <c r="Q17" s="362"/>
      <c r="R17" s="362"/>
      <c r="S17" s="362"/>
      <c r="T17" s="362"/>
      <c r="U17" s="362"/>
    </row>
    <row r="18" spans="2:21" ht="12">
      <c r="B18" s="365"/>
      <c r="C18" s="365"/>
      <c r="D18" s="365"/>
      <c r="E18" s="365"/>
      <c r="F18" s="361" t="s">
        <v>554</v>
      </c>
      <c r="G18" s="361"/>
      <c r="H18" s="359">
        <f>IF(ISERROR('[1]日数 (2)'!Q360),0,'[1]日数 (2)'!Q360)</f>
        <v>15.2</v>
      </c>
      <c r="I18" s="359"/>
      <c r="J18" s="364"/>
      <c r="K18" s="364"/>
      <c r="L18" s="359">
        <v>0</v>
      </c>
      <c r="M18" s="359"/>
      <c r="N18" s="362"/>
      <c r="O18" s="362"/>
      <c r="P18" s="362"/>
      <c r="Q18" s="362"/>
      <c r="R18" s="359">
        <f>IF(ISERROR('[1]日数 (2)'!Q360),0,'[1]日数 (2)'!Q360)</f>
        <v>15.2</v>
      </c>
      <c r="S18" s="362"/>
      <c r="T18" s="359">
        <f>IF(ISERROR('[1]日数 (2)'!Q360),0,'[1]日数 (2)'!Q360)</f>
        <v>15.2</v>
      </c>
      <c r="U18" s="362"/>
    </row>
    <row r="19" spans="2:21" ht="12">
      <c r="B19" s="365"/>
      <c r="C19" s="365"/>
      <c r="D19" s="365"/>
      <c r="E19" s="365"/>
      <c r="F19" s="361" t="s">
        <v>555</v>
      </c>
      <c r="G19" s="361"/>
      <c r="H19" s="359">
        <f>IF(ISERROR('[1]日数 (2)'!Q365),0,'[1]日数 (2)'!Q365)</f>
        <v>6.2</v>
      </c>
      <c r="I19" s="359"/>
      <c r="J19" s="364"/>
      <c r="K19" s="364"/>
      <c r="L19" s="359">
        <v>0</v>
      </c>
      <c r="M19" s="359"/>
      <c r="N19" s="362"/>
      <c r="O19" s="362"/>
      <c r="P19" s="362"/>
      <c r="Q19" s="362"/>
      <c r="R19" s="359">
        <f>IF(ISERROR('[1]日数 (2)'!Q365),0,'[1]日数 (2)'!Q365)</f>
        <v>6.2</v>
      </c>
      <c r="S19" s="362"/>
      <c r="T19" s="359">
        <f>IF(ISERROR('[1]日数 (2)'!Q365),0,'[1]日数 (2)'!Q365)</f>
        <v>6.2</v>
      </c>
      <c r="U19" s="362"/>
    </row>
    <row r="20" spans="2:21" ht="12">
      <c r="B20" s="365"/>
      <c r="C20" s="365"/>
      <c r="D20" s="365"/>
      <c r="E20" s="365"/>
      <c r="F20" s="361" t="s">
        <v>556</v>
      </c>
      <c r="G20" s="361"/>
      <c r="H20" s="359">
        <f>IF(ISERROR('[1]日数 (2)'!Q370),0,'[1]日数 (2)'!Q370)</f>
        <v>4</v>
      </c>
      <c r="I20" s="359"/>
      <c r="J20" s="364"/>
      <c r="K20" s="364"/>
      <c r="L20" s="359">
        <v>0</v>
      </c>
      <c r="M20" s="359"/>
      <c r="N20" s="362"/>
      <c r="O20" s="362"/>
      <c r="P20" s="362"/>
      <c r="Q20" s="362"/>
      <c r="R20" s="359">
        <f>IF(ISERROR('[1]日数 (2)'!Q370),0,'[1]日数 (2)'!Q370)</f>
        <v>4</v>
      </c>
      <c r="S20" s="362"/>
      <c r="T20" s="359">
        <f>IF(ISERROR('[1]日数 (2)'!Q370),0,'[1]日数 (2)'!Q370)</f>
        <v>4</v>
      </c>
      <c r="U20" s="362"/>
    </row>
    <row r="21" spans="2:21" ht="12">
      <c r="B21" s="365"/>
      <c r="C21" s="365"/>
      <c r="D21" s="365"/>
      <c r="E21" s="365"/>
      <c r="F21" s="361" t="s">
        <v>557</v>
      </c>
      <c r="G21" s="361"/>
      <c r="H21" s="359">
        <f>IF(ISERROR('[1]日数 (2)'!Q375),0,'[1]日数 (2)'!Q375)</f>
        <v>0</v>
      </c>
      <c r="I21" s="359"/>
      <c r="J21" s="364"/>
      <c r="K21" s="364"/>
      <c r="L21" s="359">
        <v>0</v>
      </c>
      <c r="M21" s="359"/>
      <c r="N21" s="362"/>
      <c r="O21" s="362"/>
      <c r="P21" s="362"/>
      <c r="Q21" s="362"/>
      <c r="R21" s="359">
        <f>IF(ISERROR('[1]日数 (2)'!Q375),0,'[1]日数 (2)'!Q375)</f>
        <v>0</v>
      </c>
      <c r="S21" s="362"/>
      <c r="T21" s="359">
        <f>IF(ISERROR('[1]日数 (2)'!Q375),0,'[1]日数 (2)'!Q375)</f>
        <v>0</v>
      </c>
      <c r="U21" s="362"/>
    </row>
    <row r="22" spans="2:21" ht="12">
      <c r="B22" s="365" t="s">
        <v>109</v>
      </c>
      <c r="C22" s="365"/>
      <c r="D22" s="365"/>
      <c r="E22" s="365"/>
      <c r="F22" s="361" t="s">
        <v>542</v>
      </c>
      <c r="G22" s="361"/>
      <c r="H22" s="359">
        <f>IF(ISERROR('[1]日数 (2)'!Q405),0,'[1]日数 (2)'!Q405)</f>
        <v>4.2</v>
      </c>
      <c r="I22" s="359"/>
      <c r="J22" s="364"/>
      <c r="K22" s="364"/>
      <c r="L22" s="359">
        <v>0</v>
      </c>
      <c r="M22" s="359"/>
      <c r="N22" s="362"/>
      <c r="O22" s="362"/>
      <c r="P22" s="362"/>
      <c r="Q22" s="362"/>
      <c r="R22" s="362"/>
      <c r="S22" s="362"/>
      <c r="T22" s="359">
        <f>'[1]基本 (2)'!$F$116</f>
        <v>4.2</v>
      </c>
      <c r="U22" s="362"/>
    </row>
    <row r="23" spans="2:21" ht="12">
      <c r="B23" s="365" t="s">
        <v>558</v>
      </c>
      <c r="C23" s="365"/>
      <c r="D23" s="365"/>
      <c r="E23" s="365"/>
      <c r="F23" s="361"/>
      <c r="G23" s="361"/>
      <c r="H23" s="359">
        <f>IF(ISERROR('[1]日数 (2)'!E433),0,'[1]日数 (2)'!E433)</f>
        <v>9</v>
      </c>
      <c r="I23" s="359"/>
      <c r="J23" s="364">
        <v>1</v>
      </c>
      <c r="K23" s="364"/>
      <c r="L23" s="359">
        <f>ROUNDDOWN('[1]日数表 (2)'!H23 / '[1]日数表 (2)'!J23,1)</f>
        <v>9</v>
      </c>
      <c r="M23" s="359"/>
      <c r="N23" s="362"/>
      <c r="O23" s="362"/>
      <c r="P23" s="362"/>
      <c r="Q23" s="362"/>
      <c r="R23" s="359">
        <f>'[1]基本 (2)'!$F$117</f>
        <v>9</v>
      </c>
      <c r="S23" s="362"/>
      <c r="T23" s="359">
        <f>'[1]基本 (2)'!$F$117</f>
        <v>9</v>
      </c>
      <c r="U23" s="362"/>
    </row>
    <row r="24" spans="2:21" ht="14.25" hidden="1" customHeight="1">
      <c r="B24" s="365" t="s">
        <v>559</v>
      </c>
      <c r="C24" s="365"/>
      <c r="D24" s="365"/>
      <c r="E24" s="365"/>
      <c r="F24" s="361"/>
      <c r="G24" s="361"/>
      <c r="H24" s="359"/>
      <c r="I24" s="359"/>
      <c r="J24" s="364"/>
      <c r="K24" s="364"/>
      <c r="L24" s="359">
        <v>0</v>
      </c>
      <c r="M24" s="359"/>
      <c r="N24" s="362"/>
      <c r="O24" s="362"/>
      <c r="P24" s="362"/>
      <c r="Q24" s="362"/>
      <c r="R24" s="362"/>
      <c r="S24" s="362"/>
      <c r="T24" s="362"/>
      <c r="U24" s="362"/>
    </row>
    <row r="25" spans="2:21" ht="12">
      <c r="B25" s="360" t="s">
        <v>560</v>
      </c>
      <c r="C25" s="360"/>
      <c r="D25" s="360"/>
      <c r="E25" s="360"/>
      <c r="F25" s="361"/>
      <c r="G25" s="361"/>
      <c r="H25" s="359">
        <f>SUM(H7:I16,H17,H22,H23:I24)</f>
        <v>99</v>
      </c>
      <c r="I25" s="359"/>
      <c r="J25" s="364"/>
      <c r="K25" s="364"/>
      <c r="L25" s="359">
        <f>SUM(L7:M16,L17,L23:M24)</f>
        <v>69.400000000000006</v>
      </c>
      <c r="M25" s="359"/>
      <c r="N25" s="359">
        <f>SUM(N7:O16,N18:O24)</f>
        <v>57.9</v>
      </c>
      <c r="O25" s="359"/>
      <c r="P25" s="359">
        <f>SUM(P7:Q16,P18:Q24)</f>
        <v>33.799999999999997</v>
      </c>
      <c r="Q25" s="359"/>
      <c r="R25" s="359">
        <f>SUM(R7:S16,R18:S24)</f>
        <v>70.7</v>
      </c>
      <c r="S25" s="359"/>
      <c r="T25" s="359">
        <f>SUM(T7:U16,T18:U24)</f>
        <v>99</v>
      </c>
      <c r="U25" s="359"/>
    </row>
    <row r="26" spans="2:21" ht="12">
      <c r="B26" s="360" t="s">
        <v>561</v>
      </c>
      <c r="C26" s="360"/>
      <c r="D26" s="360"/>
      <c r="E26" s="360"/>
      <c r="F26" s="361"/>
      <c r="G26" s="361"/>
      <c r="H26" s="362"/>
      <c r="I26" s="362"/>
      <c r="J26" s="363"/>
      <c r="K26" s="363"/>
      <c r="L26" s="362"/>
      <c r="M26" s="362"/>
      <c r="N26" s="359">
        <f>ROUND(N25*1.7,0)</f>
        <v>98</v>
      </c>
      <c r="O26" s="359"/>
      <c r="P26" s="359">
        <f>ROUND(P25*1.7,0)</f>
        <v>57</v>
      </c>
      <c r="Q26" s="359"/>
      <c r="R26" s="359">
        <f>R25*1.7</f>
        <v>120.19</v>
      </c>
      <c r="S26" s="359"/>
      <c r="T26" s="359">
        <f>T25*1.7</f>
        <v>168.29999999999998</v>
      </c>
      <c r="U26" s="359"/>
    </row>
    <row r="27" spans="2:21" ht="12">
      <c r="B27" s="360" t="s">
        <v>562</v>
      </c>
      <c r="C27" s="360"/>
      <c r="D27" s="360"/>
      <c r="E27" s="360"/>
      <c r="F27" s="361"/>
      <c r="G27" s="361"/>
      <c r="H27" s="362"/>
      <c r="I27" s="362"/>
      <c r="J27" s="363"/>
      <c r="K27" s="363"/>
      <c r="L27" s="362"/>
      <c r="M27" s="362"/>
      <c r="N27" s="362"/>
      <c r="O27" s="362"/>
      <c r="P27" s="362"/>
      <c r="Q27" s="362"/>
      <c r="R27" s="359">
        <f>ROUND(R26/30,1)</f>
        <v>4</v>
      </c>
      <c r="S27" s="359"/>
      <c r="T27" s="359">
        <f>ROUND(T26/30,1)</f>
        <v>5.6</v>
      </c>
      <c r="U27" s="359"/>
    </row>
  </sheetData>
  <mergeCells count="198">
    <mergeCell ref="P6:Q6"/>
    <mergeCell ref="R6:S6"/>
    <mergeCell ref="T6:U6"/>
    <mergeCell ref="B7:E7"/>
    <mergeCell ref="F7:G7"/>
    <mergeCell ref="H7:I7"/>
    <mergeCell ref="J7:K7"/>
    <mergeCell ref="L7:M7"/>
    <mergeCell ref="N7:O7"/>
    <mergeCell ref="P7:Q7"/>
    <mergeCell ref="B6:E6"/>
    <mergeCell ref="F6:G6"/>
    <mergeCell ref="H6:I6"/>
    <mergeCell ref="J6:K6"/>
    <mergeCell ref="L6:M6"/>
    <mergeCell ref="N6:O6"/>
    <mergeCell ref="R7:S7"/>
    <mergeCell ref="T7:U7"/>
    <mergeCell ref="B8:E8"/>
    <mergeCell ref="F8:G8"/>
    <mergeCell ref="H8:I8"/>
    <mergeCell ref="J8:K8"/>
    <mergeCell ref="L8:M8"/>
    <mergeCell ref="N8:O8"/>
    <mergeCell ref="P8:Q8"/>
    <mergeCell ref="R8:S8"/>
    <mergeCell ref="T8:U8"/>
    <mergeCell ref="B9:E9"/>
    <mergeCell ref="F9:G9"/>
    <mergeCell ref="H9:I9"/>
    <mergeCell ref="J9:K9"/>
    <mergeCell ref="L9:M9"/>
    <mergeCell ref="N9:O9"/>
    <mergeCell ref="P9:Q9"/>
    <mergeCell ref="R9:S9"/>
    <mergeCell ref="T9:U9"/>
    <mergeCell ref="P10:Q10"/>
    <mergeCell ref="R10:S10"/>
    <mergeCell ref="T10:U10"/>
    <mergeCell ref="B11:E11"/>
    <mergeCell ref="F11:G11"/>
    <mergeCell ref="H11:I11"/>
    <mergeCell ref="J11:K11"/>
    <mergeCell ref="L11:M11"/>
    <mergeCell ref="N11:O11"/>
    <mergeCell ref="P11:Q11"/>
    <mergeCell ref="B10:E10"/>
    <mergeCell ref="F10:G10"/>
    <mergeCell ref="H10:I10"/>
    <mergeCell ref="J10:K10"/>
    <mergeCell ref="L10:M10"/>
    <mergeCell ref="N10:O10"/>
    <mergeCell ref="R11:S11"/>
    <mergeCell ref="T11:U11"/>
    <mergeCell ref="B12:E12"/>
    <mergeCell ref="F12:G12"/>
    <mergeCell ref="H12:I12"/>
    <mergeCell ref="J12:K12"/>
    <mergeCell ref="L12:M12"/>
    <mergeCell ref="N12:O12"/>
    <mergeCell ref="P12:Q12"/>
    <mergeCell ref="R12:S12"/>
    <mergeCell ref="T12:U12"/>
    <mergeCell ref="B13:E13"/>
    <mergeCell ref="F13:G13"/>
    <mergeCell ref="H13:I13"/>
    <mergeCell ref="J13:K13"/>
    <mergeCell ref="L13:M13"/>
    <mergeCell ref="N13:O13"/>
    <mergeCell ref="P13:Q13"/>
    <mergeCell ref="R13:S13"/>
    <mergeCell ref="T13:U13"/>
    <mergeCell ref="P14:Q14"/>
    <mergeCell ref="R14:S14"/>
    <mergeCell ref="T14:U14"/>
    <mergeCell ref="B15:E15"/>
    <mergeCell ref="F15:G15"/>
    <mergeCell ref="H15:I15"/>
    <mergeCell ref="J15:K15"/>
    <mergeCell ref="L15:M15"/>
    <mergeCell ref="N15:O15"/>
    <mergeCell ref="P15:Q15"/>
    <mergeCell ref="B14:E14"/>
    <mergeCell ref="F14:G14"/>
    <mergeCell ref="H14:I14"/>
    <mergeCell ref="J14:K14"/>
    <mergeCell ref="L14:M14"/>
    <mergeCell ref="N14:O14"/>
    <mergeCell ref="R15:S15"/>
    <mergeCell ref="T15:U15"/>
    <mergeCell ref="B16:E16"/>
    <mergeCell ref="F16:G16"/>
    <mergeCell ref="H16:I16"/>
    <mergeCell ref="J16:K16"/>
    <mergeCell ref="L16:M16"/>
    <mergeCell ref="N16:O16"/>
    <mergeCell ref="P16:Q16"/>
    <mergeCell ref="R16:S16"/>
    <mergeCell ref="T16:U16"/>
    <mergeCell ref="B17:E17"/>
    <mergeCell ref="F17:G17"/>
    <mergeCell ref="H17:I17"/>
    <mergeCell ref="J17:K17"/>
    <mergeCell ref="L17:M17"/>
    <mergeCell ref="N17:O17"/>
    <mergeCell ref="P17:Q17"/>
    <mergeCell ref="R17:S17"/>
    <mergeCell ref="T17:U17"/>
    <mergeCell ref="P18:Q18"/>
    <mergeCell ref="R18:S18"/>
    <mergeCell ref="T18:U18"/>
    <mergeCell ref="B19:E19"/>
    <mergeCell ref="F19:G19"/>
    <mergeCell ref="H19:I19"/>
    <mergeCell ref="J19:K19"/>
    <mergeCell ref="L19:M19"/>
    <mergeCell ref="N19:O19"/>
    <mergeCell ref="P19:Q19"/>
    <mergeCell ref="B18:E18"/>
    <mergeCell ref="F18:G18"/>
    <mergeCell ref="H18:I18"/>
    <mergeCell ref="J18:K18"/>
    <mergeCell ref="L18:M18"/>
    <mergeCell ref="N18:O18"/>
    <mergeCell ref="R19:S19"/>
    <mergeCell ref="T19:U19"/>
    <mergeCell ref="B20:E20"/>
    <mergeCell ref="F20:G20"/>
    <mergeCell ref="H20:I20"/>
    <mergeCell ref="J20:K20"/>
    <mergeCell ref="L20:M20"/>
    <mergeCell ref="N20:O20"/>
    <mergeCell ref="P20:Q20"/>
    <mergeCell ref="R20:S20"/>
    <mergeCell ref="T20:U20"/>
    <mergeCell ref="B21:E21"/>
    <mergeCell ref="F21:G21"/>
    <mergeCell ref="H21:I21"/>
    <mergeCell ref="J21:K21"/>
    <mergeCell ref="L21:M21"/>
    <mergeCell ref="N21:O21"/>
    <mergeCell ref="P21:Q21"/>
    <mergeCell ref="R21:S21"/>
    <mergeCell ref="T21:U21"/>
    <mergeCell ref="P22:Q22"/>
    <mergeCell ref="R22:S22"/>
    <mergeCell ref="T22:U22"/>
    <mergeCell ref="B23:E23"/>
    <mergeCell ref="F23:G23"/>
    <mergeCell ref="H23:I23"/>
    <mergeCell ref="J23:K23"/>
    <mergeCell ref="L23:M23"/>
    <mergeCell ref="N23:O23"/>
    <mergeCell ref="P23:Q23"/>
    <mergeCell ref="B22:E22"/>
    <mergeCell ref="F22:G22"/>
    <mergeCell ref="H22:I22"/>
    <mergeCell ref="J22:K22"/>
    <mergeCell ref="L22:M22"/>
    <mergeCell ref="N22:O22"/>
    <mergeCell ref="R23:S23"/>
    <mergeCell ref="T23:U23"/>
    <mergeCell ref="B24:E24"/>
    <mergeCell ref="F24:G24"/>
    <mergeCell ref="H24:I24"/>
    <mergeCell ref="J24:K24"/>
    <mergeCell ref="L24:M24"/>
    <mergeCell ref="N24:O24"/>
    <mergeCell ref="P24:Q24"/>
    <mergeCell ref="R24:S24"/>
    <mergeCell ref="T24:U24"/>
    <mergeCell ref="B25:E25"/>
    <mergeCell ref="F25:G25"/>
    <mergeCell ref="H25:I25"/>
    <mergeCell ref="J25:K25"/>
    <mergeCell ref="L25:M25"/>
    <mergeCell ref="N25:O25"/>
    <mergeCell ref="P25:Q25"/>
    <mergeCell ref="R25:S25"/>
    <mergeCell ref="T25:U25"/>
    <mergeCell ref="R27:S27"/>
    <mergeCell ref="T27:U27"/>
    <mergeCell ref="P26:Q26"/>
    <mergeCell ref="R26:S26"/>
    <mergeCell ref="T26:U26"/>
    <mergeCell ref="B27:E27"/>
    <mergeCell ref="F27:G27"/>
    <mergeCell ref="H27:I27"/>
    <mergeCell ref="J27:K27"/>
    <mergeCell ref="L27:M27"/>
    <mergeCell ref="N27:O27"/>
    <mergeCell ref="P27:Q27"/>
    <mergeCell ref="B26:E26"/>
    <mergeCell ref="F26:G26"/>
    <mergeCell ref="H26:I26"/>
    <mergeCell ref="J26:K26"/>
    <mergeCell ref="L26:M26"/>
    <mergeCell ref="N26:O26"/>
  </mergeCells>
  <phoneticPr fontId="6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3"/>
  <sheetViews>
    <sheetView workbookViewId="0"/>
  </sheetViews>
  <sheetFormatPr defaultColWidth="5.625" defaultRowHeight="12"/>
  <cols>
    <col min="1" max="8" width="5.625" style="101"/>
    <col min="9" max="9" width="5.875" style="101" bestFit="1" customWidth="1"/>
    <col min="10" max="10" width="5.625" style="101"/>
    <col min="11" max="11" width="6.75" style="101" customWidth="1"/>
    <col min="12" max="15" width="5.625" style="101"/>
    <col min="16" max="16" width="6.75" style="101" bestFit="1" customWidth="1"/>
    <col min="17" max="17" width="5.625" style="101"/>
    <col min="18" max="18" width="5.875" style="101" bestFit="1" customWidth="1"/>
    <col min="19" max="22" width="5.625" style="101"/>
    <col min="23" max="23" width="6.375" style="101" customWidth="1"/>
    <col min="24" max="264" width="5.625" style="101"/>
    <col min="265" max="265" width="5.875" style="101" bestFit="1" customWidth="1"/>
    <col min="266" max="266" width="5.625" style="101"/>
    <col min="267" max="267" width="6.75" style="101" customWidth="1"/>
    <col min="268" max="271" width="5.625" style="101"/>
    <col min="272" max="272" width="6.75" style="101" bestFit="1" customWidth="1"/>
    <col min="273" max="273" width="5.625" style="101"/>
    <col min="274" max="274" width="5.875" style="101" bestFit="1" customWidth="1"/>
    <col min="275" max="278" width="5.625" style="101"/>
    <col min="279" max="279" width="6.375" style="101" customWidth="1"/>
    <col min="280" max="520" width="5.625" style="101"/>
    <col min="521" max="521" width="5.875" style="101" bestFit="1" customWidth="1"/>
    <col min="522" max="522" width="5.625" style="101"/>
    <col min="523" max="523" width="6.75" style="101" customWidth="1"/>
    <col min="524" max="527" width="5.625" style="101"/>
    <col min="528" max="528" width="6.75" style="101" bestFit="1" customWidth="1"/>
    <col min="529" max="529" width="5.625" style="101"/>
    <col min="530" max="530" width="5.875" style="101" bestFit="1" customWidth="1"/>
    <col min="531" max="534" width="5.625" style="101"/>
    <col min="535" max="535" width="6.375" style="101" customWidth="1"/>
    <col min="536" max="776" width="5.625" style="101"/>
    <col min="777" max="777" width="5.875" style="101" bestFit="1" customWidth="1"/>
    <col min="778" max="778" width="5.625" style="101"/>
    <col min="779" max="779" width="6.75" style="101" customWidth="1"/>
    <col min="780" max="783" width="5.625" style="101"/>
    <col min="784" max="784" width="6.75" style="101" bestFit="1" customWidth="1"/>
    <col min="785" max="785" width="5.625" style="101"/>
    <col min="786" max="786" width="5.875" style="101" bestFit="1" customWidth="1"/>
    <col min="787" max="790" width="5.625" style="101"/>
    <col min="791" max="791" width="6.375" style="101" customWidth="1"/>
    <col min="792" max="1032" width="5.625" style="101"/>
    <col min="1033" max="1033" width="5.875" style="101" bestFit="1" customWidth="1"/>
    <col min="1034" max="1034" width="5.625" style="101"/>
    <col min="1035" max="1035" width="6.75" style="101" customWidth="1"/>
    <col min="1036" max="1039" width="5.625" style="101"/>
    <col min="1040" max="1040" width="6.75" style="101" bestFit="1" customWidth="1"/>
    <col min="1041" max="1041" width="5.625" style="101"/>
    <col min="1042" max="1042" width="5.875" style="101" bestFit="1" customWidth="1"/>
    <col min="1043" max="1046" width="5.625" style="101"/>
    <col min="1047" max="1047" width="6.375" style="101" customWidth="1"/>
    <col min="1048" max="1288" width="5.625" style="101"/>
    <col min="1289" max="1289" width="5.875" style="101" bestFit="1" customWidth="1"/>
    <col min="1290" max="1290" width="5.625" style="101"/>
    <col min="1291" max="1291" width="6.75" style="101" customWidth="1"/>
    <col min="1292" max="1295" width="5.625" style="101"/>
    <col min="1296" max="1296" width="6.75" style="101" bestFit="1" customWidth="1"/>
    <col min="1297" max="1297" width="5.625" style="101"/>
    <col min="1298" max="1298" width="5.875" style="101" bestFit="1" customWidth="1"/>
    <col min="1299" max="1302" width="5.625" style="101"/>
    <col min="1303" max="1303" width="6.375" style="101" customWidth="1"/>
    <col min="1304" max="1544" width="5.625" style="101"/>
    <col min="1545" max="1545" width="5.875" style="101" bestFit="1" customWidth="1"/>
    <col min="1546" max="1546" width="5.625" style="101"/>
    <col min="1547" max="1547" width="6.75" style="101" customWidth="1"/>
    <col min="1548" max="1551" width="5.625" style="101"/>
    <col min="1552" max="1552" width="6.75" style="101" bestFit="1" customWidth="1"/>
    <col min="1553" max="1553" width="5.625" style="101"/>
    <col min="1554" max="1554" width="5.875" style="101" bestFit="1" customWidth="1"/>
    <col min="1555" max="1558" width="5.625" style="101"/>
    <col min="1559" max="1559" width="6.375" style="101" customWidth="1"/>
    <col min="1560" max="1800" width="5.625" style="101"/>
    <col min="1801" max="1801" width="5.875" style="101" bestFit="1" customWidth="1"/>
    <col min="1802" max="1802" width="5.625" style="101"/>
    <col min="1803" max="1803" width="6.75" style="101" customWidth="1"/>
    <col min="1804" max="1807" width="5.625" style="101"/>
    <col min="1808" max="1808" width="6.75" style="101" bestFit="1" customWidth="1"/>
    <col min="1809" max="1809" width="5.625" style="101"/>
    <col min="1810" max="1810" width="5.875" style="101" bestFit="1" customWidth="1"/>
    <col min="1811" max="1814" width="5.625" style="101"/>
    <col min="1815" max="1815" width="6.375" style="101" customWidth="1"/>
    <col min="1816" max="2056" width="5.625" style="101"/>
    <col min="2057" max="2057" width="5.875" style="101" bestFit="1" customWidth="1"/>
    <col min="2058" max="2058" width="5.625" style="101"/>
    <col min="2059" max="2059" width="6.75" style="101" customWidth="1"/>
    <col min="2060" max="2063" width="5.625" style="101"/>
    <col min="2064" max="2064" width="6.75" style="101" bestFit="1" customWidth="1"/>
    <col min="2065" max="2065" width="5.625" style="101"/>
    <col min="2066" max="2066" width="5.875" style="101" bestFit="1" customWidth="1"/>
    <col min="2067" max="2070" width="5.625" style="101"/>
    <col min="2071" max="2071" width="6.375" style="101" customWidth="1"/>
    <col min="2072" max="2312" width="5.625" style="101"/>
    <col min="2313" max="2313" width="5.875" style="101" bestFit="1" customWidth="1"/>
    <col min="2314" max="2314" width="5.625" style="101"/>
    <col min="2315" max="2315" width="6.75" style="101" customWidth="1"/>
    <col min="2316" max="2319" width="5.625" style="101"/>
    <col min="2320" max="2320" width="6.75" style="101" bestFit="1" customWidth="1"/>
    <col min="2321" max="2321" width="5.625" style="101"/>
    <col min="2322" max="2322" width="5.875" style="101" bestFit="1" customWidth="1"/>
    <col min="2323" max="2326" width="5.625" style="101"/>
    <col min="2327" max="2327" width="6.375" style="101" customWidth="1"/>
    <col min="2328" max="2568" width="5.625" style="101"/>
    <col min="2569" max="2569" width="5.875" style="101" bestFit="1" customWidth="1"/>
    <col min="2570" max="2570" width="5.625" style="101"/>
    <col min="2571" max="2571" width="6.75" style="101" customWidth="1"/>
    <col min="2572" max="2575" width="5.625" style="101"/>
    <col min="2576" max="2576" width="6.75" style="101" bestFit="1" customWidth="1"/>
    <col min="2577" max="2577" width="5.625" style="101"/>
    <col min="2578" max="2578" width="5.875" style="101" bestFit="1" customWidth="1"/>
    <col min="2579" max="2582" width="5.625" style="101"/>
    <col min="2583" max="2583" width="6.375" style="101" customWidth="1"/>
    <col min="2584" max="2824" width="5.625" style="101"/>
    <col min="2825" max="2825" width="5.875" style="101" bestFit="1" customWidth="1"/>
    <col min="2826" max="2826" width="5.625" style="101"/>
    <col min="2827" max="2827" width="6.75" style="101" customWidth="1"/>
    <col min="2828" max="2831" width="5.625" style="101"/>
    <col min="2832" max="2832" width="6.75" style="101" bestFit="1" customWidth="1"/>
    <col min="2833" max="2833" width="5.625" style="101"/>
    <col min="2834" max="2834" width="5.875" style="101" bestFit="1" customWidth="1"/>
    <col min="2835" max="2838" width="5.625" style="101"/>
    <col min="2839" max="2839" width="6.375" style="101" customWidth="1"/>
    <col min="2840" max="3080" width="5.625" style="101"/>
    <col min="3081" max="3081" width="5.875" style="101" bestFit="1" customWidth="1"/>
    <col min="3082" max="3082" width="5.625" style="101"/>
    <col min="3083" max="3083" width="6.75" style="101" customWidth="1"/>
    <col min="3084" max="3087" width="5.625" style="101"/>
    <col min="3088" max="3088" width="6.75" style="101" bestFit="1" customWidth="1"/>
    <col min="3089" max="3089" width="5.625" style="101"/>
    <col min="3090" max="3090" width="5.875" style="101" bestFit="1" customWidth="1"/>
    <col min="3091" max="3094" width="5.625" style="101"/>
    <col min="3095" max="3095" width="6.375" style="101" customWidth="1"/>
    <col min="3096" max="3336" width="5.625" style="101"/>
    <col min="3337" max="3337" width="5.875" style="101" bestFit="1" customWidth="1"/>
    <col min="3338" max="3338" width="5.625" style="101"/>
    <col min="3339" max="3339" width="6.75" style="101" customWidth="1"/>
    <col min="3340" max="3343" width="5.625" style="101"/>
    <col min="3344" max="3344" width="6.75" style="101" bestFit="1" customWidth="1"/>
    <col min="3345" max="3345" width="5.625" style="101"/>
    <col min="3346" max="3346" width="5.875" style="101" bestFit="1" customWidth="1"/>
    <col min="3347" max="3350" width="5.625" style="101"/>
    <col min="3351" max="3351" width="6.375" style="101" customWidth="1"/>
    <col min="3352" max="3592" width="5.625" style="101"/>
    <col min="3593" max="3593" width="5.875" style="101" bestFit="1" customWidth="1"/>
    <col min="3594" max="3594" width="5.625" style="101"/>
    <col min="3595" max="3595" width="6.75" style="101" customWidth="1"/>
    <col min="3596" max="3599" width="5.625" style="101"/>
    <col min="3600" max="3600" width="6.75" style="101" bestFit="1" customWidth="1"/>
    <col min="3601" max="3601" width="5.625" style="101"/>
    <col min="3602" max="3602" width="5.875" style="101" bestFit="1" customWidth="1"/>
    <col min="3603" max="3606" width="5.625" style="101"/>
    <col min="3607" max="3607" width="6.375" style="101" customWidth="1"/>
    <col min="3608" max="3848" width="5.625" style="101"/>
    <col min="3849" max="3849" width="5.875" style="101" bestFit="1" customWidth="1"/>
    <col min="3850" max="3850" width="5.625" style="101"/>
    <col min="3851" max="3851" width="6.75" style="101" customWidth="1"/>
    <col min="3852" max="3855" width="5.625" style="101"/>
    <col min="3856" max="3856" width="6.75" style="101" bestFit="1" customWidth="1"/>
    <col min="3857" max="3857" width="5.625" style="101"/>
    <col min="3858" max="3858" width="5.875" style="101" bestFit="1" customWidth="1"/>
    <col min="3859" max="3862" width="5.625" style="101"/>
    <col min="3863" max="3863" width="6.375" style="101" customWidth="1"/>
    <col min="3864" max="4104" width="5.625" style="101"/>
    <col min="4105" max="4105" width="5.875" style="101" bestFit="1" customWidth="1"/>
    <col min="4106" max="4106" width="5.625" style="101"/>
    <col min="4107" max="4107" width="6.75" style="101" customWidth="1"/>
    <col min="4108" max="4111" width="5.625" style="101"/>
    <col min="4112" max="4112" width="6.75" style="101" bestFit="1" customWidth="1"/>
    <col min="4113" max="4113" width="5.625" style="101"/>
    <col min="4114" max="4114" width="5.875" style="101" bestFit="1" customWidth="1"/>
    <col min="4115" max="4118" width="5.625" style="101"/>
    <col min="4119" max="4119" width="6.375" style="101" customWidth="1"/>
    <col min="4120" max="4360" width="5.625" style="101"/>
    <col min="4361" max="4361" width="5.875" style="101" bestFit="1" customWidth="1"/>
    <col min="4362" max="4362" width="5.625" style="101"/>
    <col min="4363" max="4363" width="6.75" style="101" customWidth="1"/>
    <col min="4364" max="4367" width="5.625" style="101"/>
    <col min="4368" max="4368" width="6.75" style="101" bestFit="1" customWidth="1"/>
    <col min="4369" max="4369" width="5.625" style="101"/>
    <col min="4370" max="4370" width="5.875" style="101" bestFit="1" customWidth="1"/>
    <col min="4371" max="4374" width="5.625" style="101"/>
    <col min="4375" max="4375" width="6.375" style="101" customWidth="1"/>
    <col min="4376" max="4616" width="5.625" style="101"/>
    <col min="4617" max="4617" width="5.875" style="101" bestFit="1" customWidth="1"/>
    <col min="4618" max="4618" width="5.625" style="101"/>
    <col min="4619" max="4619" width="6.75" style="101" customWidth="1"/>
    <col min="4620" max="4623" width="5.625" style="101"/>
    <col min="4624" max="4624" width="6.75" style="101" bestFit="1" customWidth="1"/>
    <col min="4625" max="4625" width="5.625" style="101"/>
    <col min="4626" max="4626" width="5.875" style="101" bestFit="1" customWidth="1"/>
    <col min="4627" max="4630" width="5.625" style="101"/>
    <col min="4631" max="4631" width="6.375" style="101" customWidth="1"/>
    <col min="4632" max="4872" width="5.625" style="101"/>
    <col min="4873" max="4873" width="5.875" style="101" bestFit="1" customWidth="1"/>
    <col min="4874" max="4874" width="5.625" style="101"/>
    <col min="4875" max="4875" width="6.75" style="101" customWidth="1"/>
    <col min="4876" max="4879" width="5.625" style="101"/>
    <col min="4880" max="4880" width="6.75" style="101" bestFit="1" customWidth="1"/>
    <col min="4881" max="4881" width="5.625" style="101"/>
    <col min="4882" max="4882" width="5.875" style="101" bestFit="1" customWidth="1"/>
    <col min="4883" max="4886" width="5.625" style="101"/>
    <col min="4887" max="4887" width="6.375" style="101" customWidth="1"/>
    <col min="4888" max="5128" width="5.625" style="101"/>
    <col min="5129" max="5129" width="5.875" style="101" bestFit="1" customWidth="1"/>
    <col min="5130" max="5130" width="5.625" style="101"/>
    <col min="5131" max="5131" width="6.75" style="101" customWidth="1"/>
    <col min="5132" max="5135" width="5.625" style="101"/>
    <col min="5136" max="5136" width="6.75" style="101" bestFit="1" customWidth="1"/>
    <col min="5137" max="5137" width="5.625" style="101"/>
    <col min="5138" max="5138" width="5.875" style="101" bestFit="1" customWidth="1"/>
    <col min="5139" max="5142" width="5.625" style="101"/>
    <col min="5143" max="5143" width="6.375" style="101" customWidth="1"/>
    <col min="5144" max="5384" width="5.625" style="101"/>
    <col min="5385" max="5385" width="5.875" style="101" bestFit="1" customWidth="1"/>
    <col min="5386" max="5386" width="5.625" style="101"/>
    <col min="5387" max="5387" width="6.75" style="101" customWidth="1"/>
    <col min="5388" max="5391" width="5.625" style="101"/>
    <col min="5392" max="5392" width="6.75" style="101" bestFit="1" customWidth="1"/>
    <col min="5393" max="5393" width="5.625" style="101"/>
    <col min="5394" max="5394" width="5.875" style="101" bestFit="1" customWidth="1"/>
    <col min="5395" max="5398" width="5.625" style="101"/>
    <col min="5399" max="5399" width="6.375" style="101" customWidth="1"/>
    <col min="5400" max="5640" width="5.625" style="101"/>
    <col min="5641" max="5641" width="5.875" style="101" bestFit="1" customWidth="1"/>
    <col min="5642" max="5642" width="5.625" style="101"/>
    <col min="5643" max="5643" width="6.75" style="101" customWidth="1"/>
    <col min="5644" max="5647" width="5.625" style="101"/>
    <col min="5648" max="5648" width="6.75" style="101" bestFit="1" customWidth="1"/>
    <col min="5649" max="5649" width="5.625" style="101"/>
    <col min="5650" max="5650" width="5.875" style="101" bestFit="1" customWidth="1"/>
    <col min="5651" max="5654" width="5.625" style="101"/>
    <col min="5655" max="5655" width="6.375" style="101" customWidth="1"/>
    <col min="5656" max="5896" width="5.625" style="101"/>
    <col min="5897" max="5897" width="5.875" style="101" bestFit="1" customWidth="1"/>
    <col min="5898" max="5898" width="5.625" style="101"/>
    <col min="5899" max="5899" width="6.75" style="101" customWidth="1"/>
    <col min="5900" max="5903" width="5.625" style="101"/>
    <col min="5904" max="5904" width="6.75" style="101" bestFit="1" customWidth="1"/>
    <col min="5905" max="5905" width="5.625" style="101"/>
    <col min="5906" max="5906" width="5.875" style="101" bestFit="1" customWidth="1"/>
    <col min="5907" max="5910" width="5.625" style="101"/>
    <col min="5911" max="5911" width="6.375" style="101" customWidth="1"/>
    <col min="5912" max="6152" width="5.625" style="101"/>
    <col min="6153" max="6153" width="5.875" style="101" bestFit="1" customWidth="1"/>
    <col min="6154" max="6154" width="5.625" style="101"/>
    <col min="6155" max="6155" width="6.75" style="101" customWidth="1"/>
    <col min="6156" max="6159" width="5.625" style="101"/>
    <col min="6160" max="6160" width="6.75" style="101" bestFit="1" customWidth="1"/>
    <col min="6161" max="6161" width="5.625" style="101"/>
    <col min="6162" max="6162" width="5.875" style="101" bestFit="1" customWidth="1"/>
    <col min="6163" max="6166" width="5.625" style="101"/>
    <col min="6167" max="6167" width="6.375" style="101" customWidth="1"/>
    <col min="6168" max="6408" width="5.625" style="101"/>
    <col min="6409" max="6409" width="5.875" style="101" bestFit="1" customWidth="1"/>
    <col min="6410" max="6410" width="5.625" style="101"/>
    <col min="6411" max="6411" width="6.75" style="101" customWidth="1"/>
    <col min="6412" max="6415" width="5.625" style="101"/>
    <col min="6416" max="6416" width="6.75" style="101" bestFit="1" customWidth="1"/>
    <col min="6417" max="6417" width="5.625" style="101"/>
    <col min="6418" max="6418" width="5.875" style="101" bestFit="1" customWidth="1"/>
    <col min="6419" max="6422" width="5.625" style="101"/>
    <col min="6423" max="6423" width="6.375" style="101" customWidth="1"/>
    <col min="6424" max="6664" width="5.625" style="101"/>
    <col min="6665" max="6665" width="5.875" style="101" bestFit="1" customWidth="1"/>
    <col min="6666" max="6666" width="5.625" style="101"/>
    <col min="6667" max="6667" width="6.75" style="101" customWidth="1"/>
    <col min="6668" max="6671" width="5.625" style="101"/>
    <col min="6672" max="6672" width="6.75" style="101" bestFit="1" customWidth="1"/>
    <col min="6673" max="6673" width="5.625" style="101"/>
    <col min="6674" max="6674" width="5.875" style="101" bestFit="1" customWidth="1"/>
    <col min="6675" max="6678" width="5.625" style="101"/>
    <col min="6679" max="6679" width="6.375" style="101" customWidth="1"/>
    <col min="6680" max="6920" width="5.625" style="101"/>
    <col min="6921" max="6921" width="5.875" style="101" bestFit="1" customWidth="1"/>
    <col min="6922" max="6922" width="5.625" style="101"/>
    <col min="6923" max="6923" width="6.75" style="101" customWidth="1"/>
    <col min="6924" max="6927" width="5.625" style="101"/>
    <col min="6928" max="6928" width="6.75" style="101" bestFit="1" customWidth="1"/>
    <col min="6929" max="6929" width="5.625" style="101"/>
    <col min="6930" max="6930" width="5.875" style="101" bestFit="1" customWidth="1"/>
    <col min="6931" max="6934" width="5.625" style="101"/>
    <col min="6935" max="6935" width="6.375" style="101" customWidth="1"/>
    <col min="6936" max="7176" width="5.625" style="101"/>
    <col min="7177" max="7177" width="5.875" style="101" bestFit="1" customWidth="1"/>
    <col min="7178" max="7178" width="5.625" style="101"/>
    <col min="7179" max="7179" width="6.75" style="101" customWidth="1"/>
    <col min="7180" max="7183" width="5.625" style="101"/>
    <col min="7184" max="7184" width="6.75" style="101" bestFit="1" customWidth="1"/>
    <col min="7185" max="7185" width="5.625" style="101"/>
    <col min="7186" max="7186" width="5.875" style="101" bestFit="1" customWidth="1"/>
    <col min="7187" max="7190" width="5.625" style="101"/>
    <col min="7191" max="7191" width="6.375" style="101" customWidth="1"/>
    <col min="7192" max="7432" width="5.625" style="101"/>
    <col min="7433" max="7433" width="5.875" style="101" bestFit="1" customWidth="1"/>
    <col min="7434" max="7434" width="5.625" style="101"/>
    <col min="7435" max="7435" width="6.75" style="101" customWidth="1"/>
    <col min="7436" max="7439" width="5.625" style="101"/>
    <col min="7440" max="7440" width="6.75" style="101" bestFit="1" customWidth="1"/>
    <col min="7441" max="7441" width="5.625" style="101"/>
    <col min="7442" max="7442" width="5.875" style="101" bestFit="1" customWidth="1"/>
    <col min="7443" max="7446" width="5.625" style="101"/>
    <col min="7447" max="7447" width="6.375" style="101" customWidth="1"/>
    <col min="7448" max="7688" width="5.625" style="101"/>
    <col min="7689" max="7689" width="5.875" style="101" bestFit="1" customWidth="1"/>
    <col min="7690" max="7690" width="5.625" style="101"/>
    <col min="7691" max="7691" width="6.75" style="101" customWidth="1"/>
    <col min="7692" max="7695" width="5.625" style="101"/>
    <col min="7696" max="7696" width="6.75" style="101" bestFit="1" customWidth="1"/>
    <col min="7697" max="7697" width="5.625" style="101"/>
    <col min="7698" max="7698" width="5.875" style="101" bestFit="1" customWidth="1"/>
    <col min="7699" max="7702" width="5.625" style="101"/>
    <col min="7703" max="7703" width="6.375" style="101" customWidth="1"/>
    <col min="7704" max="7944" width="5.625" style="101"/>
    <col min="7945" max="7945" width="5.875" style="101" bestFit="1" customWidth="1"/>
    <col min="7946" max="7946" width="5.625" style="101"/>
    <col min="7947" max="7947" width="6.75" style="101" customWidth="1"/>
    <col min="7948" max="7951" width="5.625" style="101"/>
    <col min="7952" max="7952" width="6.75" style="101" bestFit="1" customWidth="1"/>
    <col min="7953" max="7953" width="5.625" style="101"/>
    <col min="7954" max="7954" width="5.875" style="101" bestFit="1" customWidth="1"/>
    <col min="7955" max="7958" width="5.625" style="101"/>
    <col min="7959" max="7959" width="6.375" style="101" customWidth="1"/>
    <col min="7960" max="8200" width="5.625" style="101"/>
    <col min="8201" max="8201" width="5.875" style="101" bestFit="1" customWidth="1"/>
    <col min="8202" max="8202" width="5.625" style="101"/>
    <col min="8203" max="8203" width="6.75" style="101" customWidth="1"/>
    <col min="8204" max="8207" width="5.625" style="101"/>
    <col min="8208" max="8208" width="6.75" style="101" bestFit="1" customWidth="1"/>
    <col min="8209" max="8209" width="5.625" style="101"/>
    <col min="8210" max="8210" width="5.875" style="101" bestFit="1" customWidth="1"/>
    <col min="8211" max="8214" width="5.625" style="101"/>
    <col min="8215" max="8215" width="6.375" style="101" customWidth="1"/>
    <col min="8216" max="8456" width="5.625" style="101"/>
    <col min="8457" max="8457" width="5.875" style="101" bestFit="1" customWidth="1"/>
    <col min="8458" max="8458" width="5.625" style="101"/>
    <col min="8459" max="8459" width="6.75" style="101" customWidth="1"/>
    <col min="8460" max="8463" width="5.625" style="101"/>
    <col min="8464" max="8464" width="6.75" style="101" bestFit="1" customWidth="1"/>
    <col min="8465" max="8465" width="5.625" style="101"/>
    <col min="8466" max="8466" width="5.875" style="101" bestFit="1" customWidth="1"/>
    <col min="8467" max="8470" width="5.625" style="101"/>
    <col min="8471" max="8471" width="6.375" style="101" customWidth="1"/>
    <col min="8472" max="8712" width="5.625" style="101"/>
    <col min="8713" max="8713" width="5.875" style="101" bestFit="1" customWidth="1"/>
    <col min="8714" max="8714" width="5.625" style="101"/>
    <col min="8715" max="8715" width="6.75" style="101" customWidth="1"/>
    <col min="8716" max="8719" width="5.625" style="101"/>
    <col min="8720" max="8720" width="6.75" style="101" bestFit="1" customWidth="1"/>
    <col min="8721" max="8721" width="5.625" style="101"/>
    <col min="8722" max="8722" width="5.875" style="101" bestFit="1" customWidth="1"/>
    <col min="8723" max="8726" width="5.625" style="101"/>
    <col min="8727" max="8727" width="6.375" style="101" customWidth="1"/>
    <col min="8728" max="8968" width="5.625" style="101"/>
    <col min="8969" max="8969" width="5.875" style="101" bestFit="1" customWidth="1"/>
    <col min="8970" max="8970" width="5.625" style="101"/>
    <col min="8971" max="8971" width="6.75" style="101" customWidth="1"/>
    <col min="8972" max="8975" width="5.625" style="101"/>
    <col min="8976" max="8976" width="6.75" style="101" bestFit="1" customWidth="1"/>
    <col min="8977" max="8977" width="5.625" style="101"/>
    <col min="8978" max="8978" width="5.875" style="101" bestFit="1" customWidth="1"/>
    <col min="8979" max="8982" width="5.625" style="101"/>
    <col min="8983" max="8983" width="6.375" style="101" customWidth="1"/>
    <col min="8984" max="9224" width="5.625" style="101"/>
    <col min="9225" max="9225" width="5.875" style="101" bestFit="1" customWidth="1"/>
    <col min="9226" max="9226" width="5.625" style="101"/>
    <col min="9227" max="9227" width="6.75" style="101" customWidth="1"/>
    <col min="9228" max="9231" width="5.625" style="101"/>
    <col min="9232" max="9232" width="6.75" style="101" bestFit="1" customWidth="1"/>
    <col min="9233" max="9233" width="5.625" style="101"/>
    <col min="9234" max="9234" width="5.875" style="101" bestFit="1" customWidth="1"/>
    <col min="9235" max="9238" width="5.625" style="101"/>
    <col min="9239" max="9239" width="6.375" style="101" customWidth="1"/>
    <col min="9240" max="9480" width="5.625" style="101"/>
    <col min="9481" max="9481" width="5.875" style="101" bestFit="1" customWidth="1"/>
    <col min="9482" max="9482" width="5.625" style="101"/>
    <col min="9483" max="9483" width="6.75" style="101" customWidth="1"/>
    <col min="9484" max="9487" width="5.625" style="101"/>
    <col min="9488" max="9488" width="6.75" style="101" bestFit="1" customWidth="1"/>
    <col min="9489" max="9489" width="5.625" style="101"/>
    <col min="9490" max="9490" width="5.875" style="101" bestFit="1" customWidth="1"/>
    <col min="9491" max="9494" width="5.625" style="101"/>
    <col min="9495" max="9495" width="6.375" style="101" customWidth="1"/>
    <col min="9496" max="9736" width="5.625" style="101"/>
    <col min="9737" max="9737" width="5.875" style="101" bestFit="1" customWidth="1"/>
    <col min="9738" max="9738" width="5.625" style="101"/>
    <col min="9739" max="9739" width="6.75" style="101" customWidth="1"/>
    <col min="9740" max="9743" width="5.625" style="101"/>
    <col min="9744" max="9744" width="6.75" style="101" bestFit="1" customWidth="1"/>
    <col min="9745" max="9745" width="5.625" style="101"/>
    <col min="9746" max="9746" width="5.875" style="101" bestFit="1" customWidth="1"/>
    <col min="9747" max="9750" width="5.625" style="101"/>
    <col min="9751" max="9751" width="6.375" style="101" customWidth="1"/>
    <col min="9752" max="9992" width="5.625" style="101"/>
    <col min="9993" max="9993" width="5.875" style="101" bestFit="1" customWidth="1"/>
    <col min="9994" max="9994" width="5.625" style="101"/>
    <col min="9995" max="9995" width="6.75" style="101" customWidth="1"/>
    <col min="9996" max="9999" width="5.625" style="101"/>
    <col min="10000" max="10000" width="6.75" style="101" bestFit="1" customWidth="1"/>
    <col min="10001" max="10001" width="5.625" style="101"/>
    <col min="10002" max="10002" width="5.875" style="101" bestFit="1" customWidth="1"/>
    <col min="10003" max="10006" width="5.625" style="101"/>
    <col min="10007" max="10007" width="6.375" style="101" customWidth="1"/>
    <col min="10008" max="10248" width="5.625" style="101"/>
    <col min="10249" max="10249" width="5.875" style="101" bestFit="1" customWidth="1"/>
    <col min="10250" max="10250" width="5.625" style="101"/>
    <col min="10251" max="10251" width="6.75" style="101" customWidth="1"/>
    <col min="10252" max="10255" width="5.625" style="101"/>
    <col min="10256" max="10256" width="6.75" style="101" bestFit="1" customWidth="1"/>
    <col min="10257" max="10257" width="5.625" style="101"/>
    <col min="10258" max="10258" width="5.875" style="101" bestFit="1" customWidth="1"/>
    <col min="10259" max="10262" width="5.625" style="101"/>
    <col min="10263" max="10263" width="6.375" style="101" customWidth="1"/>
    <col min="10264" max="10504" width="5.625" style="101"/>
    <col min="10505" max="10505" width="5.875" style="101" bestFit="1" customWidth="1"/>
    <col min="10506" max="10506" width="5.625" style="101"/>
    <col min="10507" max="10507" width="6.75" style="101" customWidth="1"/>
    <col min="10508" max="10511" width="5.625" style="101"/>
    <col min="10512" max="10512" width="6.75" style="101" bestFit="1" customWidth="1"/>
    <col min="10513" max="10513" width="5.625" style="101"/>
    <col min="10514" max="10514" width="5.875" style="101" bestFit="1" customWidth="1"/>
    <col min="10515" max="10518" width="5.625" style="101"/>
    <col min="10519" max="10519" width="6.375" style="101" customWidth="1"/>
    <col min="10520" max="10760" width="5.625" style="101"/>
    <col min="10761" max="10761" width="5.875" style="101" bestFit="1" customWidth="1"/>
    <col min="10762" max="10762" width="5.625" style="101"/>
    <col min="10763" max="10763" width="6.75" style="101" customWidth="1"/>
    <col min="10764" max="10767" width="5.625" style="101"/>
    <col min="10768" max="10768" width="6.75" style="101" bestFit="1" customWidth="1"/>
    <col min="10769" max="10769" width="5.625" style="101"/>
    <col min="10770" max="10770" width="5.875" style="101" bestFit="1" customWidth="1"/>
    <col min="10771" max="10774" width="5.625" style="101"/>
    <col min="10775" max="10775" width="6.375" style="101" customWidth="1"/>
    <col min="10776" max="11016" width="5.625" style="101"/>
    <col min="11017" max="11017" width="5.875" style="101" bestFit="1" customWidth="1"/>
    <col min="11018" max="11018" width="5.625" style="101"/>
    <col min="11019" max="11019" width="6.75" style="101" customWidth="1"/>
    <col min="11020" max="11023" width="5.625" style="101"/>
    <col min="11024" max="11024" width="6.75" style="101" bestFit="1" customWidth="1"/>
    <col min="11025" max="11025" width="5.625" style="101"/>
    <col min="11026" max="11026" width="5.875" style="101" bestFit="1" customWidth="1"/>
    <col min="11027" max="11030" width="5.625" style="101"/>
    <col min="11031" max="11031" width="6.375" style="101" customWidth="1"/>
    <col min="11032" max="11272" width="5.625" style="101"/>
    <col min="11273" max="11273" width="5.875" style="101" bestFit="1" customWidth="1"/>
    <col min="11274" max="11274" width="5.625" style="101"/>
    <col min="11275" max="11275" width="6.75" style="101" customWidth="1"/>
    <col min="11276" max="11279" width="5.625" style="101"/>
    <col min="11280" max="11280" width="6.75" style="101" bestFit="1" customWidth="1"/>
    <col min="11281" max="11281" width="5.625" style="101"/>
    <col min="11282" max="11282" width="5.875" style="101" bestFit="1" customWidth="1"/>
    <col min="11283" max="11286" width="5.625" style="101"/>
    <col min="11287" max="11287" width="6.375" style="101" customWidth="1"/>
    <col min="11288" max="11528" width="5.625" style="101"/>
    <col min="11529" max="11529" width="5.875" style="101" bestFit="1" customWidth="1"/>
    <col min="11530" max="11530" width="5.625" style="101"/>
    <col min="11531" max="11531" width="6.75" style="101" customWidth="1"/>
    <col min="11532" max="11535" width="5.625" style="101"/>
    <col min="11536" max="11536" width="6.75" style="101" bestFit="1" customWidth="1"/>
    <col min="11537" max="11537" width="5.625" style="101"/>
    <col min="11538" max="11538" width="5.875" style="101" bestFit="1" customWidth="1"/>
    <col min="11539" max="11542" width="5.625" style="101"/>
    <col min="11543" max="11543" width="6.375" style="101" customWidth="1"/>
    <col min="11544" max="11784" width="5.625" style="101"/>
    <col min="11785" max="11785" width="5.875" style="101" bestFit="1" customWidth="1"/>
    <col min="11786" max="11786" width="5.625" style="101"/>
    <col min="11787" max="11787" width="6.75" style="101" customWidth="1"/>
    <col min="11788" max="11791" width="5.625" style="101"/>
    <col min="11792" max="11792" width="6.75" style="101" bestFit="1" customWidth="1"/>
    <col min="11793" max="11793" width="5.625" style="101"/>
    <col min="11794" max="11794" width="5.875" style="101" bestFit="1" customWidth="1"/>
    <col min="11795" max="11798" width="5.625" style="101"/>
    <col min="11799" max="11799" width="6.375" style="101" customWidth="1"/>
    <col min="11800" max="12040" width="5.625" style="101"/>
    <col min="12041" max="12041" width="5.875" style="101" bestFit="1" customWidth="1"/>
    <col min="12042" max="12042" width="5.625" style="101"/>
    <col min="12043" max="12043" width="6.75" style="101" customWidth="1"/>
    <col min="12044" max="12047" width="5.625" style="101"/>
    <col min="12048" max="12048" width="6.75" style="101" bestFit="1" customWidth="1"/>
    <col min="12049" max="12049" width="5.625" style="101"/>
    <col min="12050" max="12050" width="5.875" style="101" bestFit="1" customWidth="1"/>
    <col min="12051" max="12054" width="5.625" style="101"/>
    <col min="12055" max="12055" width="6.375" style="101" customWidth="1"/>
    <col min="12056" max="12296" width="5.625" style="101"/>
    <col min="12297" max="12297" width="5.875" style="101" bestFit="1" customWidth="1"/>
    <col min="12298" max="12298" width="5.625" style="101"/>
    <col min="12299" max="12299" width="6.75" style="101" customWidth="1"/>
    <col min="12300" max="12303" width="5.625" style="101"/>
    <col min="12304" max="12304" width="6.75" style="101" bestFit="1" customWidth="1"/>
    <col min="12305" max="12305" width="5.625" style="101"/>
    <col min="12306" max="12306" width="5.875" style="101" bestFit="1" customWidth="1"/>
    <col min="12307" max="12310" width="5.625" style="101"/>
    <col min="12311" max="12311" width="6.375" style="101" customWidth="1"/>
    <col min="12312" max="12552" width="5.625" style="101"/>
    <col min="12553" max="12553" width="5.875" style="101" bestFit="1" customWidth="1"/>
    <col min="12554" max="12554" width="5.625" style="101"/>
    <col min="12555" max="12555" width="6.75" style="101" customWidth="1"/>
    <col min="12556" max="12559" width="5.625" style="101"/>
    <col min="12560" max="12560" width="6.75" style="101" bestFit="1" customWidth="1"/>
    <col min="12561" max="12561" width="5.625" style="101"/>
    <col min="12562" max="12562" width="5.875" style="101" bestFit="1" customWidth="1"/>
    <col min="12563" max="12566" width="5.625" style="101"/>
    <col min="12567" max="12567" width="6.375" style="101" customWidth="1"/>
    <col min="12568" max="12808" width="5.625" style="101"/>
    <col min="12809" max="12809" width="5.875" style="101" bestFit="1" customWidth="1"/>
    <col min="12810" max="12810" width="5.625" style="101"/>
    <col min="12811" max="12811" width="6.75" style="101" customWidth="1"/>
    <col min="12812" max="12815" width="5.625" style="101"/>
    <col min="12816" max="12816" width="6.75" style="101" bestFit="1" customWidth="1"/>
    <col min="12817" max="12817" width="5.625" style="101"/>
    <col min="12818" max="12818" width="5.875" style="101" bestFit="1" customWidth="1"/>
    <col min="12819" max="12822" width="5.625" style="101"/>
    <col min="12823" max="12823" width="6.375" style="101" customWidth="1"/>
    <col min="12824" max="13064" width="5.625" style="101"/>
    <col min="13065" max="13065" width="5.875" style="101" bestFit="1" customWidth="1"/>
    <col min="13066" max="13066" width="5.625" style="101"/>
    <col min="13067" max="13067" width="6.75" style="101" customWidth="1"/>
    <col min="13068" max="13071" width="5.625" style="101"/>
    <col min="13072" max="13072" width="6.75" style="101" bestFit="1" customWidth="1"/>
    <col min="13073" max="13073" width="5.625" style="101"/>
    <col min="13074" max="13074" width="5.875" style="101" bestFit="1" customWidth="1"/>
    <col min="13075" max="13078" width="5.625" style="101"/>
    <col min="13079" max="13079" width="6.375" style="101" customWidth="1"/>
    <col min="13080" max="13320" width="5.625" style="101"/>
    <col min="13321" max="13321" width="5.875" style="101" bestFit="1" customWidth="1"/>
    <col min="13322" max="13322" width="5.625" style="101"/>
    <col min="13323" max="13323" width="6.75" style="101" customWidth="1"/>
    <col min="13324" max="13327" width="5.625" style="101"/>
    <col min="13328" max="13328" width="6.75" style="101" bestFit="1" customWidth="1"/>
    <col min="13329" max="13329" width="5.625" style="101"/>
    <col min="13330" max="13330" width="5.875" style="101" bestFit="1" customWidth="1"/>
    <col min="13331" max="13334" width="5.625" style="101"/>
    <col min="13335" max="13335" width="6.375" style="101" customWidth="1"/>
    <col min="13336" max="13576" width="5.625" style="101"/>
    <col min="13577" max="13577" width="5.875" style="101" bestFit="1" customWidth="1"/>
    <col min="13578" max="13578" width="5.625" style="101"/>
    <col min="13579" max="13579" width="6.75" style="101" customWidth="1"/>
    <col min="13580" max="13583" width="5.625" style="101"/>
    <col min="13584" max="13584" width="6.75" style="101" bestFit="1" customWidth="1"/>
    <col min="13585" max="13585" width="5.625" style="101"/>
    <col min="13586" max="13586" width="5.875" style="101" bestFit="1" customWidth="1"/>
    <col min="13587" max="13590" width="5.625" style="101"/>
    <col min="13591" max="13591" width="6.375" style="101" customWidth="1"/>
    <col min="13592" max="13832" width="5.625" style="101"/>
    <col min="13833" max="13833" width="5.875" style="101" bestFit="1" customWidth="1"/>
    <col min="13834" max="13834" width="5.625" style="101"/>
    <col min="13835" max="13835" width="6.75" style="101" customWidth="1"/>
    <col min="13836" max="13839" width="5.625" style="101"/>
    <col min="13840" max="13840" width="6.75" style="101" bestFit="1" customWidth="1"/>
    <col min="13841" max="13841" width="5.625" style="101"/>
    <col min="13842" max="13842" width="5.875" style="101" bestFit="1" customWidth="1"/>
    <col min="13843" max="13846" width="5.625" style="101"/>
    <col min="13847" max="13847" width="6.375" style="101" customWidth="1"/>
    <col min="13848" max="14088" width="5.625" style="101"/>
    <col min="14089" max="14089" width="5.875" style="101" bestFit="1" customWidth="1"/>
    <col min="14090" max="14090" width="5.625" style="101"/>
    <col min="14091" max="14091" width="6.75" style="101" customWidth="1"/>
    <col min="14092" max="14095" width="5.625" style="101"/>
    <col min="14096" max="14096" width="6.75" style="101" bestFit="1" customWidth="1"/>
    <col min="14097" max="14097" width="5.625" style="101"/>
    <col min="14098" max="14098" width="5.875" style="101" bestFit="1" customWidth="1"/>
    <col min="14099" max="14102" width="5.625" style="101"/>
    <col min="14103" max="14103" width="6.375" style="101" customWidth="1"/>
    <col min="14104" max="14344" width="5.625" style="101"/>
    <col min="14345" max="14345" width="5.875" style="101" bestFit="1" customWidth="1"/>
    <col min="14346" max="14346" width="5.625" style="101"/>
    <col min="14347" max="14347" width="6.75" style="101" customWidth="1"/>
    <col min="14348" max="14351" width="5.625" style="101"/>
    <col min="14352" max="14352" width="6.75" style="101" bestFit="1" customWidth="1"/>
    <col min="14353" max="14353" width="5.625" style="101"/>
    <col min="14354" max="14354" width="5.875" style="101" bestFit="1" customWidth="1"/>
    <col min="14355" max="14358" width="5.625" style="101"/>
    <col min="14359" max="14359" width="6.375" style="101" customWidth="1"/>
    <col min="14360" max="14600" width="5.625" style="101"/>
    <col min="14601" max="14601" width="5.875" style="101" bestFit="1" customWidth="1"/>
    <col min="14602" max="14602" width="5.625" style="101"/>
    <col min="14603" max="14603" width="6.75" style="101" customWidth="1"/>
    <col min="14604" max="14607" width="5.625" style="101"/>
    <col min="14608" max="14608" width="6.75" style="101" bestFit="1" customWidth="1"/>
    <col min="14609" max="14609" width="5.625" style="101"/>
    <col min="14610" max="14610" width="5.875" style="101" bestFit="1" customWidth="1"/>
    <col min="14611" max="14614" width="5.625" style="101"/>
    <col min="14615" max="14615" width="6.375" style="101" customWidth="1"/>
    <col min="14616" max="14856" width="5.625" style="101"/>
    <col min="14857" max="14857" width="5.875" style="101" bestFit="1" customWidth="1"/>
    <col min="14858" max="14858" width="5.625" style="101"/>
    <col min="14859" max="14859" width="6.75" style="101" customWidth="1"/>
    <col min="14860" max="14863" width="5.625" style="101"/>
    <col min="14864" max="14864" width="6.75" style="101" bestFit="1" customWidth="1"/>
    <col min="14865" max="14865" width="5.625" style="101"/>
    <col min="14866" max="14866" width="5.875" style="101" bestFit="1" customWidth="1"/>
    <col min="14867" max="14870" width="5.625" style="101"/>
    <col min="14871" max="14871" width="6.375" style="101" customWidth="1"/>
    <col min="14872" max="15112" width="5.625" style="101"/>
    <col min="15113" max="15113" width="5.875" style="101" bestFit="1" customWidth="1"/>
    <col min="15114" max="15114" width="5.625" style="101"/>
    <col min="15115" max="15115" width="6.75" style="101" customWidth="1"/>
    <col min="15116" max="15119" width="5.625" style="101"/>
    <col min="15120" max="15120" width="6.75" style="101" bestFit="1" customWidth="1"/>
    <col min="15121" max="15121" width="5.625" style="101"/>
    <col min="15122" max="15122" width="5.875" style="101" bestFit="1" customWidth="1"/>
    <col min="15123" max="15126" width="5.625" style="101"/>
    <col min="15127" max="15127" width="6.375" style="101" customWidth="1"/>
    <col min="15128" max="15368" width="5.625" style="101"/>
    <col min="15369" max="15369" width="5.875" style="101" bestFit="1" customWidth="1"/>
    <col min="15370" max="15370" width="5.625" style="101"/>
    <col min="15371" max="15371" width="6.75" style="101" customWidth="1"/>
    <col min="15372" max="15375" width="5.625" style="101"/>
    <col min="15376" max="15376" width="6.75" style="101" bestFit="1" customWidth="1"/>
    <col min="15377" max="15377" width="5.625" style="101"/>
    <col min="15378" max="15378" width="5.875" style="101" bestFit="1" customWidth="1"/>
    <col min="15379" max="15382" width="5.625" style="101"/>
    <col min="15383" max="15383" width="6.375" style="101" customWidth="1"/>
    <col min="15384" max="15624" width="5.625" style="101"/>
    <col min="15625" max="15625" width="5.875" style="101" bestFit="1" customWidth="1"/>
    <col min="15626" max="15626" width="5.625" style="101"/>
    <col min="15627" max="15627" width="6.75" style="101" customWidth="1"/>
    <col min="15628" max="15631" width="5.625" style="101"/>
    <col min="15632" max="15632" width="6.75" style="101" bestFit="1" customWidth="1"/>
    <col min="15633" max="15633" width="5.625" style="101"/>
    <col min="15634" max="15634" width="5.875" style="101" bestFit="1" customWidth="1"/>
    <col min="15635" max="15638" width="5.625" style="101"/>
    <col min="15639" max="15639" width="6.375" style="101" customWidth="1"/>
    <col min="15640" max="15880" width="5.625" style="101"/>
    <col min="15881" max="15881" width="5.875" style="101" bestFit="1" customWidth="1"/>
    <col min="15882" max="15882" width="5.625" style="101"/>
    <col min="15883" max="15883" width="6.75" style="101" customWidth="1"/>
    <col min="15884" max="15887" width="5.625" style="101"/>
    <col min="15888" max="15888" width="6.75" style="101" bestFit="1" customWidth="1"/>
    <col min="15889" max="15889" width="5.625" style="101"/>
    <col min="15890" max="15890" width="5.875" style="101" bestFit="1" customWidth="1"/>
    <col min="15891" max="15894" width="5.625" style="101"/>
    <col min="15895" max="15895" width="6.375" style="101" customWidth="1"/>
    <col min="15896" max="16136" width="5.625" style="101"/>
    <col min="16137" max="16137" width="5.875" style="101" bestFit="1" customWidth="1"/>
    <col min="16138" max="16138" width="5.625" style="101"/>
    <col min="16139" max="16139" width="6.75" style="101" customWidth="1"/>
    <col min="16140" max="16143" width="5.625" style="101"/>
    <col min="16144" max="16144" width="6.75" style="101" bestFit="1" customWidth="1"/>
    <col min="16145" max="16145" width="5.625" style="101"/>
    <col min="16146" max="16146" width="5.875" style="101" bestFit="1" customWidth="1"/>
    <col min="16147" max="16150" width="5.625" style="101"/>
    <col min="16151" max="16151" width="6.375" style="101" customWidth="1"/>
    <col min="16152" max="16384" width="5.625" style="101"/>
  </cols>
  <sheetData>
    <row r="1" spans="1:17" ht="14.25" customHeight="1">
      <c r="A1" s="100" t="s">
        <v>563</v>
      </c>
    </row>
    <row r="2" spans="1:17" ht="14.25" customHeight="1"/>
    <row r="3" spans="1:17" ht="14.25" customHeight="1">
      <c r="A3" s="99" t="s">
        <v>564</v>
      </c>
      <c r="F3" s="102"/>
      <c r="G3" s="102"/>
      <c r="H3" s="102"/>
    </row>
    <row r="4" spans="1:17" ht="14.25" customHeight="1"/>
    <row r="5" spans="1:17" ht="14.25" customHeight="1">
      <c r="B5" s="99" t="s">
        <v>565</v>
      </c>
    </row>
    <row r="6" spans="1:17" ht="14.25" customHeight="1">
      <c r="B6" s="369" t="s">
        <v>566</v>
      </c>
      <c r="C6" s="369"/>
      <c r="D6" s="338" t="s">
        <v>567</v>
      </c>
      <c r="E6" s="369"/>
      <c r="F6" s="369"/>
      <c r="G6" s="103" t="s">
        <v>568</v>
      </c>
      <c r="H6" s="103" t="s">
        <v>569</v>
      </c>
      <c r="I6" s="369" t="s">
        <v>570</v>
      </c>
      <c r="J6" s="369"/>
      <c r="K6" s="369" t="s">
        <v>571</v>
      </c>
      <c r="L6" s="369"/>
      <c r="M6" s="369"/>
      <c r="N6" s="412" t="s">
        <v>572</v>
      </c>
      <c r="O6" s="438"/>
      <c r="P6" s="438"/>
      <c r="Q6" s="375"/>
    </row>
    <row r="7" spans="1:17" ht="14.25" customHeight="1">
      <c r="B7" s="373"/>
      <c r="C7" s="374"/>
      <c r="D7" s="338" t="s">
        <v>573</v>
      </c>
      <c r="E7" s="369"/>
      <c r="F7" s="369"/>
      <c r="G7" s="103" t="s">
        <v>574</v>
      </c>
      <c r="H7" s="104">
        <f>Cel工事_ベント基礎工_数量計</f>
        <v>195</v>
      </c>
      <c r="I7" s="372">
        <f>Cel工事_ベント基礎工_単価</f>
        <v>3985</v>
      </c>
      <c r="J7" s="421"/>
      <c r="K7" s="372">
        <f>INT(Cel一覧_ベント基礎工_数量 * Cel一覧_ベント基礎工_単価)</f>
        <v>777075</v>
      </c>
      <c r="L7" s="372"/>
      <c r="M7" s="372"/>
      <c r="N7" s="463" t="s">
        <v>575</v>
      </c>
      <c r="O7" s="464"/>
      <c r="P7" s="464"/>
      <c r="Q7" s="465"/>
    </row>
    <row r="8" spans="1:17" ht="14.25" customHeight="1">
      <c r="B8" s="445"/>
      <c r="C8" s="446"/>
      <c r="D8" s="369" t="s">
        <v>93</v>
      </c>
      <c r="E8" s="369"/>
      <c r="F8" s="369"/>
      <c r="G8" s="103" t="s">
        <v>576</v>
      </c>
      <c r="H8" s="104">
        <f>Cel工事_ベント設備工_数量計</f>
        <v>151.9</v>
      </c>
      <c r="I8" s="372">
        <f>Cel工事_ベント設備工_単価</f>
        <v>114662</v>
      </c>
      <c r="J8" s="421"/>
      <c r="K8" s="372">
        <f>INT(Cel一覧_ベント設備工_数量 * Cel一覧_ベント設備工_単価)</f>
        <v>17417157</v>
      </c>
      <c r="L8" s="372"/>
      <c r="M8" s="372"/>
      <c r="N8" s="463" t="s">
        <v>577</v>
      </c>
      <c r="O8" s="464"/>
      <c r="P8" s="464"/>
      <c r="Q8" s="465"/>
    </row>
    <row r="9" spans="1:17" ht="14.25" customHeight="1">
      <c r="B9" s="445"/>
      <c r="C9" s="446"/>
      <c r="D9" s="412" t="s">
        <v>578</v>
      </c>
      <c r="E9" s="438"/>
      <c r="F9" s="375"/>
      <c r="G9" s="103" t="s">
        <v>576</v>
      </c>
      <c r="H9" s="104">
        <f>Cel工事_地組立工_数量計</f>
        <v>124.5</v>
      </c>
      <c r="I9" s="370">
        <f>Cel工事_地組立工_単価</f>
        <v>16658</v>
      </c>
      <c r="J9" s="371"/>
      <c r="K9" s="372">
        <f>INT(Cel一覧_地組立工_数量 * Cel一覧_地組立工_単価)</f>
        <v>2073921</v>
      </c>
      <c r="L9" s="372"/>
      <c r="M9" s="372"/>
      <c r="N9" s="463" t="s">
        <v>579</v>
      </c>
      <c r="O9" s="464"/>
      <c r="P9" s="464"/>
      <c r="Q9" s="465"/>
    </row>
    <row r="10" spans="1:17" ht="14.25" hidden="1" customHeight="1">
      <c r="B10" s="445"/>
      <c r="C10" s="446"/>
      <c r="D10" s="412" t="s">
        <v>580</v>
      </c>
      <c r="E10" s="438"/>
      <c r="F10" s="375"/>
      <c r="G10" s="103" t="s">
        <v>576</v>
      </c>
      <c r="H10" s="104">
        <f>Cel工事_地組溶接架台設備工_数量計</f>
        <v>12.4</v>
      </c>
      <c r="I10" s="370">
        <f>Cel工事_地組溶接架台設備工_単価</f>
        <v>0</v>
      </c>
      <c r="J10" s="371"/>
      <c r="K10" s="372">
        <f>INT(Cel一覧_地組溶接架台設備工_数量 * Cel一覧_地組溶接架台設備工_単価)</f>
        <v>0</v>
      </c>
      <c r="L10" s="372"/>
      <c r="M10" s="372"/>
      <c r="N10" s="463" t="s">
        <v>581</v>
      </c>
      <c r="O10" s="464"/>
      <c r="P10" s="464"/>
      <c r="Q10" s="465"/>
    </row>
    <row r="11" spans="1:17" ht="14.25" customHeight="1">
      <c r="B11" s="445"/>
      <c r="C11" s="446"/>
      <c r="D11" s="412" t="s">
        <v>582</v>
      </c>
      <c r="E11" s="438"/>
      <c r="F11" s="375"/>
      <c r="G11" s="103" t="s">
        <v>576</v>
      </c>
      <c r="H11" s="104">
        <f>Cel工事_桁架設工_数量計</f>
        <v>290.7</v>
      </c>
      <c r="I11" s="370">
        <f>Cel工事_桁架設工_単価</f>
        <v>19023</v>
      </c>
      <c r="J11" s="371"/>
      <c r="K11" s="370">
        <f>INT(Cel一覧_桁架設工_数量 * Cel一覧_桁架設工_単価)</f>
        <v>5529986</v>
      </c>
      <c r="L11" s="466"/>
      <c r="M11" s="418"/>
      <c r="N11" s="463" t="s">
        <v>583</v>
      </c>
      <c r="O11" s="464"/>
      <c r="P11" s="464"/>
      <c r="Q11" s="465"/>
    </row>
    <row r="12" spans="1:17" ht="14.25" customHeight="1">
      <c r="B12" s="445"/>
      <c r="C12" s="446"/>
      <c r="D12" s="412" t="s">
        <v>584</v>
      </c>
      <c r="E12" s="438"/>
      <c r="F12" s="375"/>
      <c r="G12" s="103" t="s">
        <v>235</v>
      </c>
      <c r="H12" s="104">
        <v>1</v>
      </c>
      <c r="I12" s="370">
        <f>Cel一覧_重機分解組立運搬費_金額計</f>
        <v>1256479.07</v>
      </c>
      <c r="J12" s="371"/>
      <c r="K12" s="370">
        <f>Cel一覧_重機分解組立運搬費_数量 * Cel一覧_重機分解組立運搬費_単価</f>
        <v>1256479.07</v>
      </c>
      <c r="L12" s="466"/>
      <c r="M12" s="418"/>
      <c r="N12" s="463" t="s">
        <v>585</v>
      </c>
      <c r="O12" s="464"/>
      <c r="P12" s="464"/>
      <c r="Q12" s="465"/>
    </row>
    <row r="13" spans="1:17" ht="14.25" hidden="1" customHeight="1">
      <c r="B13" s="445"/>
      <c r="C13" s="446"/>
      <c r="D13" s="338" t="s">
        <v>586</v>
      </c>
      <c r="E13" s="369"/>
      <c r="F13" s="369"/>
      <c r="G13" s="103" t="s">
        <v>587</v>
      </c>
      <c r="H13" s="104">
        <f>Cel工事_現場継手部溶接工_数量計</f>
        <v>57.999999999999993</v>
      </c>
      <c r="I13" s="372">
        <f>Cel工事_現場継手部溶接工_単価</f>
        <v>0</v>
      </c>
      <c r="J13" s="421"/>
      <c r="K13" s="372">
        <f>INT(Cel一覧_現場継手部溶接工_数量 * Cel一覧_現場継手部溶接工_単価)</f>
        <v>0</v>
      </c>
      <c r="L13" s="372"/>
      <c r="M13" s="372"/>
      <c r="N13" s="463" t="s">
        <v>581</v>
      </c>
      <c r="O13" s="464"/>
      <c r="P13" s="464"/>
      <c r="Q13" s="465"/>
    </row>
    <row r="14" spans="1:17" ht="14.25" hidden="1" customHeight="1">
      <c r="B14" s="445"/>
      <c r="C14" s="446"/>
      <c r="D14" s="338" t="s">
        <v>588</v>
      </c>
      <c r="E14" s="369"/>
      <c r="F14" s="369"/>
      <c r="G14" s="103" t="s">
        <v>589</v>
      </c>
      <c r="H14" s="104">
        <f>Cel工事_溶接用ケーシング設備工_数量計</f>
        <v>50</v>
      </c>
      <c r="I14" s="372">
        <f>Cel工事_溶接用ケーシング設備工_単価</f>
        <v>0</v>
      </c>
      <c r="J14" s="421"/>
      <c r="K14" s="372">
        <f>INT(Cel一覧_溶接用ケーシング設備工_数量 * Cel一覧_溶接用ケーシング設備工_単価)</f>
        <v>0</v>
      </c>
      <c r="L14" s="372"/>
      <c r="M14" s="372"/>
      <c r="N14" s="463" t="s">
        <v>581</v>
      </c>
      <c r="O14" s="464"/>
      <c r="P14" s="464"/>
      <c r="Q14" s="465"/>
    </row>
    <row r="15" spans="1:17" ht="14.25" customHeight="1">
      <c r="B15" s="445"/>
      <c r="C15" s="446"/>
      <c r="D15" s="338" t="s">
        <v>590</v>
      </c>
      <c r="E15" s="369"/>
      <c r="F15" s="369"/>
      <c r="G15" s="103" t="s">
        <v>591</v>
      </c>
      <c r="H15" s="104">
        <f>Cel工事_沓据付工_数量計</f>
        <v>20</v>
      </c>
      <c r="I15" s="372">
        <f>Cel工事_沓据付工_単価</f>
        <v>96307</v>
      </c>
      <c r="J15" s="421"/>
      <c r="K15" s="372">
        <f>INT(Cel一覧_沓据付工_数量 * Cel一覧_沓据付工_単価)</f>
        <v>1926140</v>
      </c>
      <c r="L15" s="372"/>
      <c r="M15" s="372"/>
      <c r="N15" s="463" t="s">
        <v>592</v>
      </c>
      <c r="O15" s="464"/>
      <c r="P15" s="464"/>
      <c r="Q15" s="465"/>
    </row>
    <row r="16" spans="1:17" ht="14.25" customHeight="1">
      <c r="B16" s="445"/>
      <c r="C16" s="446"/>
      <c r="D16" s="338" t="s">
        <v>593</v>
      </c>
      <c r="E16" s="369"/>
      <c r="F16" s="369"/>
      <c r="G16" s="103" t="s">
        <v>594</v>
      </c>
      <c r="H16" s="104">
        <f>Cel工事_高力ボルト本締工_数量計</f>
        <v>13490</v>
      </c>
      <c r="I16" s="372">
        <f>Cel工事_高力ボルト本締工_単価</f>
        <v>123</v>
      </c>
      <c r="J16" s="421"/>
      <c r="K16" s="372">
        <f>INT(Cel一覧_高力ボルト本締工_数量 * Cel一覧_高力ボルト本締工_単価)</f>
        <v>1659270</v>
      </c>
      <c r="L16" s="372"/>
      <c r="M16" s="372"/>
      <c r="N16" s="463" t="s">
        <v>595</v>
      </c>
      <c r="O16" s="464"/>
      <c r="P16" s="464"/>
      <c r="Q16" s="465"/>
    </row>
    <row r="17" spans="2:24" ht="14.25" customHeight="1">
      <c r="B17" s="445"/>
      <c r="C17" s="446"/>
      <c r="D17" s="338" t="s">
        <v>596</v>
      </c>
      <c r="E17" s="369"/>
      <c r="F17" s="369"/>
      <c r="G17" s="103" t="s">
        <v>597</v>
      </c>
      <c r="H17" s="104">
        <f>Cel工事_落橋防止装置工_数量計</f>
        <v>10</v>
      </c>
      <c r="I17" s="372">
        <f>Cel工事_落橋防止装置工_単価</f>
        <v>48757</v>
      </c>
      <c r="J17" s="421"/>
      <c r="K17" s="372">
        <f>INT(Cel一覧_落橋防止装置工_数量 * Cel一覧_落橋防止装置工_単価)</f>
        <v>487570</v>
      </c>
      <c r="L17" s="372"/>
      <c r="M17" s="372"/>
      <c r="N17" s="463" t="s">
        <v>598</v>
      </c>
      <c r="O17" s="464"/>
      <c r="P17" s="464"/>
      <c r="Q17" s="465"/>
    </row>
    <row r="18" spans="2:24" ht="14.25" customHeight="1">
      <c r="B18" s="445"/>
      <c r="C18" s="446"/>
      <c r="D18" s="338" t="s">
        <v>599</v>
      </c>
      <c r="E18" s="369"/>
      <c r="F18" s="369"/>
      <c r="G18" s="103" t="s">
        <v>600</v>
      </c>
      <c r="H18" s="104">
        <f>Cel工事_足場工_数量計</f>
        <v>1547</v>
      </c>
      <c r="I18" s="372">
        <f>Cel工事_足場工_単価</f>
        <v>4982</v>
      </c>
      <c r="J18" s="421"/>
      <c r="K18" s="372">
        <f>INT(Cel一覧_足場工_数量 * Cel一覧_足場工_単価)</f>
        <v>7707154</v>
      </c>
      <c r="L18" s="372"/>
      <c r="M18" s="372"/>
      <c r="N18" s="463" t="s">
        <v>601</v>
      </c>
      <c r="O18" s="464"/>
      <c r="P18" s="464"/>
      <c r="Q18" s="465"/>
      <c r="R18" s="105"/>
      <c r="S18" s="105"/>
      <c r="T18" s="105"/>
    </row>
    <row r="19" spans="2:24" ht="14.25" customHeight="1">
      <c r="B19" s="445"/>
      <c r="C19" s="446"/>
      <c r="D19" s="338" t="s">
        <v>602</v>
      </c>
      <c r="E19" s="369"/>
      <c r="F19" s="369"/>
      <c r="G19" s="103" t="s">
        <v>600</v>
      </c>
      <c r="H19" s="104">
        <f>Cel工事_継手部現場塗装工_数量計</f>
        <v>187.08</v>
      </c>
      <c r="I19" s="372">
        <f>Cel工事_継手部現場塗装工_単価</f>
        <v>20009</v>
      </c>
      <c r="J19" s="421"/>
      <c r="K19" s="372">
        <f>INT(Cel一覧_継手部現場塗装工_数量 * Cel一覧_継手部現場塗装工_単価)</f>
        <v>3743283</v>
      </c>
      <c r="L19" s="372"/>
      <c r="M19" s="372"/>
      <c r="N19" s="463" t="s">
        <v>603</v>
      </c>
      <c r="O19" s="464"/>
      <c r="P19" s="464"/>
      <c r="Q19" s="465"/>
    </row>
    <row r="20" spans="2:24" ht="14.25" hidden="1" customHeight="1">
      <c r="B20" s="377"/>
      <c r="C20" s="378"/>
      <c r="D20" s="338" t="s">
        <v>604</v>
      </c>
      <c r="E20" s="369"/>
      <c r="F20" s="369"/>
      <c r="G20" s="103" t="s">
        <v>605</v>
      </c>
      <c r="H20" s="106">
        <v>1</v>
      </c>
      <c r="I20" s="421"/>
      <c r="J20" s="421"/>
      <c r="K20" s="372">
        <f>IF(ISERROR(N308+N317+N326),0,N308+N317+N326)</f>
        <v>0</v>
      </c>
      <c r="L20" s="372"/>
      <c r="M20" s="372"/>
      <c r="N20" s="463" t="s">
        <v>581</v>
      </c>
      <c r="O20" s="464"/>
      <c r="P20" s="464"/>
      <c r="Q20" s="465"/>
      <c r="R20" s="105"/>
      <c r="S20" s="105"/>
      <c r="T20" s="105"/>
    </row>
    <row r="21" spans="2:24" ht="14.25" customHeight="1">
      <c r="B21" s="377"/>
      <c r="C21" s="378"/>
      <c r="D21" s="369" t="s">
        <v>606</v>
      </c>
      <c r="E21" s="369"/>
      <c r="F21" s="369"/>
      <c r="G21" s="107"/>
      <c r="H21" s="108"/>
      <c r="I21" s="421"/>
      <c r="J21" s="421"/>
      <c r="K21" s="372">
        <f>SUM(K7:L20)</f>
        <v>42578035.07</v>
      </c>
      <c r="L21" s="372"/>
      <c r="M21" s="372"/>
      <c r="N21" s="463"/>
      <c r="O21" s="464"/>
      <c r="P21" s="464"/>
      <c r="Q21" s="465"/>
    </row>
    <row r="22" spans="2:24" ht="14.25" customHeight="1"/>
    <row r="23" spans="2:24" ht="14.25" customHeight="1">
      <c r="C23" s="460" t="s">
        <v>607</v>
      </c>
      <c r="D23" s="461"/>
      <c r="E23" s="461"/>
      <c r="F23" s="462">
        <f>K21</f>
        <v>42578035.07</v>
      </c>
      <c r="G23" s="462"/>
      <c r="H23" s="109" t="s">
        <v>473</v>
      </c>
      <c r="I23" s="110">
        <f>'[1]基本 (2)'!O35</f>
        <v>290.7</v>
      </c>
      <c r="J23" s="109" t="s">
        <v>608</v>
      </c>
      <c r="K23" s="110">
        <f>ROUND(F23/I23/1000,1)</f>
        <v>146.5</v>
      </c>
      <c r="L23" s="111" t="s">
        <v>609</v>
      </c>
    </row>
    <row r="24" spans="2:24" ht="14.25" customHeight="1"/>
    <row r="25" spans="2:24" ht="14.25" customHeight="1"/>
    <row r="26" spans="2:24" ht="14.25" customHeight="1">
      <c r="B26" s="99" t="s">
        <v>610</v>
      </c>
      <c r="V26" s="112"/>
      <c r="W26" s="105"/>
    </row>
    <row r="27" spans="2:24" ht="14.25" customHeight="1">
      <c r="B27" s="369" t="s">
        <v>566</v>
      </c>
      <c r="C27" s="369"/>
      <c r="D27" s="338" t="s">
        <v>567</v>
      </c>
      <c r="E27" s="369"/>
      <c r="F27" s="369"/>
      <c r="G27" s="369" t="s">
        <v>611</v>
      </c>
      <c r="H27" s="369"/>
      <c r="I27" s="369"/>
      <c r="J27" s="103" t="s">
        <v>568</v>
      </c>
      <c r="K27" s="103" t="s">
        <v>569</v>
      </c>
      <c r="L27" s="369" t="s">
        <v>612</v>
      </c>
      <c r="M27" s="369"/>
      <c r="N27" s="369" t="s">
        <v>613</v>
      </c>
      <c r="O27" s="369"/>
      <c r="P27" s="369" t="s">
        <v>614</v>
      </c>
      <c r="Q27" s="369"/>
      <c r="R27" s="369"/>
      <c r="S27" s="369"/>
      <c r="T27" s="369"/>
      <c r="U27" s="369"/>
      <c r="V27" s="369"/>
      <c r="W27" s="369"/>
      <c r="X27" s="369"/>
    </row>
    <row r="28" spans="2:24" ht="14.25" customHeight="1">
      <c r="B28" s="379" t="s">
        <v>615</v>
      </c>
      <c r="C28" s="379"/>
      <c r="D28" s="369" t="s">
        <v>616</v>
      </c>
      <c r="E28" s="369"/>
      <c r="F28" s="369"/>
      <c r="G28" s="113" t="s">
        <v>617</v>
      </c>
      <c r="H28" s="114">
        <v>1</v>
      </c>
      <c r="I28" s="115" t="s">
        <v>618</v>
      </c>
      <c r="J28" s="103" t="s">
        <v>619</v>
      </c>
      <c r="K28" s="116">
        <f>H28*R28</f>
        <v>2.7</v>
      </c>
      <c r="L28" s="439">
        <f>L141</f>
        <v>33710</v>
      </c>
      <c r="M28" s="440"/>
      <c r="N28" s="370">
        <f>K28*L28</f>
        <v>91017</v>
      </c>
      <c r="O28" s="418"/>
      <c r="P28" s="373" t="s">
        <v>620</v>
      </c>
      <c r="Q28" s="384"/>
      <c r="R28" s="117">
        <f>'[1]日数 (2)'!D58</f>
        <v>2.7</v>
      </c>
      <c r="S28" s="118" t="s">
        <v>118</v>
      </c>
      <c r="T28" s="119" t="s">
        <v>621</v>
      </c>
      <c r="U28" s="459" t="s">
        <v>622</v>
      </c>
      <c r="V28" s="459"/>
      <c r="W28" s="118"/>
      <c r="X28" s="120"/>
    </row>
    <row r="29" spans="2:24" ht="14.25" customHeight="1">
      <c r="B29" s="385"/>
      <c r="C29" s="385"/>
      <c r="D29" s="369" t="s">
        <v>623</v>
      </c>
      <c r="E29" s="369"/>
      <c r="F29" s="369"/>
      <c r="G29" s="113" t="s">
        <v>617</v>
      </c>
      <c r="H29" s="114">
        <v>4</v>
      </c>
      <c r="I29" s="115" t="s">
        <v>618</v>
      </c>
      <c r="J29" s="103" t="s">
        <v>624</v>
      </c>
      <c r="K29" s="116">
        <f>H29*R28</f>
        <v>10.8</v>
      </c>
      <c r="L29" s="439">
        <f>L142</f>
        <v>28930</v>
      </c>
      <c r="M29" s="440"/>
      <c r="N29" s="370">
        <f>K29*L29</f>
        <v>312444</v>
      </c>
      <c r="O29" s="418"/>
      <c r="P29" s="121"/>
      <c r="Q29" s="96"/>
      <c r="R29" s="96"/>
      <c r="S29" s="96"/>
      <c r="T29" s="96"/>
      <c r="U29" s="96"/>
      <c r="V29" s="96"/>
      <c r="W29" s="96"/>
      <c r="X29" s="122"/>
    </row>
    <row r="30" spans="2:24" ht="14.25" customHeight="1">
      <c r="B30" s="368"/>
      <c r="C30" s="368"/>
      <c r="D30" s="369" t="s">
        <v>625</v>
      </c>
      <c r="E30" s="369"/>
      <c r="F30" s="369"/>
      <c r="G30" s="113" t="s">
        <v>617</v>
      </c>
      <c r="H30" s="114"/>
      <c r="I30" s="115" t="s">
        <v>618</v>
      </c>
      <c r="J30" s="103" t="s">
        <v>624</v>
      </c>
      <c r="K30" s="116">
        <f>H30*R28</f>
        <v>0</v>
      </c>
      <c r="L30" s="439">
        <f>L143</f>
        <v>18800</v>
      </c>
      <c r="M30" s="440"/>
      <c r="N30" s="370">
        <f>K30*L30</f>
        <v>0</v>
      </c>
      <c r="O30" s="418"/>
      <c r="P30" s="121"/>
      <c r="Q30" s="96"/>
      <c r="R30" s="96"/>
      <c r="S30" s="96"/>
      <c r="T30" s="96"/>
      <c r="U30" s="96"/>
      <c r="V30" s="96"/>
      <c r="W30" s="96"/>
      <c r="X30" s="122"/>
    </row>
    <row r="31" spans="2:24" ht="14.25" customHeight="1">
      <c r="B31" s="379" t="s">
        <v>626</v>
      </c>
      <c r="C31" s="379"/>
      <c r="D31" s="426" t="s">
        <v>627</v>
      </c>
      <c r="E31" s="427"/>
      <c r="F31" s="428"/>
      <c r="G31" s="426" t="s">
        <v>628</v>
      </c>
      <c r="H31" s="427"/>
      <c r="I31" s="428"/>
      <c r="J31" s="123" t="s">
        <v>118</v>
      </c>
      <c r="K31" s="124">
        <f>ROUND(R28,0)</f>
        <v>3</v>
      </c>
      <c r="L31" s="451">
        <f>VLOOKUP("全国平均",[1]クレーン単価!A1:N57,3,FALSE)</f>
        <v>49000</v>
      </c>
      <c r="M31" s="452"/>
      <c r="N31" s="453">
        <f>K31*L31</f>
        <v>147000</v>
      </c>
      <c r="O31" s="454"/>
      <c r="P31" s="121"/>
      <c r="Q31" s="96"/>
      <c r="R31" s="96"/>
      <c r="S31" s="96"/>
      <c r="T31" s="96"/>
      <c r="U31" s="96"/>
      <c r="V31" s="96"/>
      <c r="W31" s="96"/>
      <c r="X31" s="122"/>
    </row>
    <row r="32" spans="2:24" ht="14.25" customHeight="1">
      <c r="B32" s="385"/>
      <c r="C32" s="385"/>
      <c r="D32" s="368"/>
      <c r="E32" s="368"/>
      <c r="F32" s="368"/>
      <c r="G32" s="368" t="s">
        <v>629</v>
      </c>
      <c r="H32" s="368"/>
      <c r="I32" s="368"/>
      <c r="J32" s="125"/>
      <c r="K32" s="126"/>
      <c r="L32" s="455"/>
      <c r="M32" s="456"/>
      <c r="N32" s="457"/>
      <c r="O32" s="458"/>
      <c r="P32" s="121"/>
      <c r="Q32" s="96"/>
      <c r="R32" s="96"/>
      <c r="S32" s="96"/>
      <c r="T32" s="96"/>
      <c r="U32" s="96"/>
      <c r="V32" s="96"/>
      <c r="W32" s="96"/>
      <c r="X32" s="122"/>
    </row>
    <row r="33" spans="2:24" ht="14.25" customHeight="1">
      <c r="B33" s="385"/>
      <c r="C33" s="385"/>
      <c r="D33" s="379" t="s">
        <v>630</v>
      </c>
      <c r="E33" s="379"/>
      <c r="F33" s="379"/>
      <c r="G33" s="338"/>
      <c r="H33" s="369"/>
      <c r="I33" s="369"/>
      <c r="J33" s="103"/>
      <c r="K33" s="127"/>
      <c r="L33" s="447"/>
      <c r="M33" s="448"/>
      <c r="N33" s="381"/>
      <c r="O33" s="371"/>
      <c r="P33" s="121" t="s">
        <v>631</v>
      </c>
      <c r="Q33" s="96"/>
      <c r="R33" s="96"/>
      <c r="S33" s="96"/>
      <c r="T33" s="96"/>
      <c r="U33" s="96"/>
      <c r="V33" s="96"/>
      <c r="W33" s="96"/>
      <c r="X33" s="122"/>
    </row>
    <row r="34" spans="2:24" ht="14.25" customHeight="1">
      <c r="B34" s="385"/>
      <c r="C34" s="385"/>
      <c r="D34" s="385"/>
      <c r="E34" s="385"/>
      <c r="F34" s="385"/>
      <c r="G34" s="412" t="s">
        <v>632</v>
      </c>
      <c r="H34" s="438"/>
      <c r="I34" s="375"/>
      <c r="J34" s="103" t="s">
        <v>624</v>
      </c>
      <c r="K34" s="116">
        <f>'[1]基本 (2)'!D131</f>
        <v>98</v>
      </c>
      <c r="L34" s="439">
        <f t="shared" ref="L34:L63" si="0">ROUND(P34*R34*(U34/100),0)</f>
        <v>416</v>
      </c>
      <c r="M34" s="440"/>
      <c r="N34" s="449">
        <f t="shared" ref="N34:N63" si="1">K34*L34</f>
        <v>40768</v>
      </c>
      <c r="O34" s="450"/>
      <c r="P34" s="128">
        <f>'[1]日数 (2)'!L74</f>
        <v>27.3</v>
      </c>
      <c r="Q34" s="62" t="s">
        <v>633</v>
      </c>
      <c r="R34" s="129">
        <f>R73</f>
        <v>761</v>
      </c>
      <c r="S34" s="79" t="s">
        <v>634</v>
      </c>
      <c r="T34" s="62" t="s">
        <v>635</v>
      </c>
      <c r="U34" s="130">
        <v>2</v>
      </c>
      <c r="V34" s="60" t="s">
        <v>636</v>
      </c>
      <c r="W34" s="96"/>
      <c r="X34" s="122"/>
    </row>
    <row r="35" spans="2:24" ht="14.25" customHeight="1">
      <c r="B35" s="445"/>
      <c r="C35" s="446"/>
      <c r="D35" s="445"/>
      <c r="E35" s="405"/>
      <c r="F35" s="446"/>
      <c r="G35" s="412" t="s">
        <v>637</v>
      </c>
      <c r="H35" s="438"/>
      <c r="I35" s="375"/>
      <c r="J35" s="103" t="s">
        <v>624</v>
      </c>
      <c r="K35" s="116">
        <f>K34</f>
        <v>98</v>
      </c>
      <c r="L35" s="439">
        <f t="shared" si="0"/>
        <v>416</v>
      </c>
      <c r="M35" s="440"/>
      <c r="N35" s="370">
        <f t="shared" si="1"/>
        <v>40768</v>
      </c>
      <c r="O35" s="418"/>
      <c r="P35" s="128">
        <f>'[1]日数 (2)'!L75</f>
        <v>27.3</v>
      </c>
      <c r="Q35" s="62" t="s">
        <v>633</v>
      </c>
      <c r="R35" s="129">
        <f>R73</f>
        <v>761</v>
      </c>
      <c r="S35" s="79" t="s">
        <v>634</v>
      </c>
      <c r="T35" s="62" t="s">
        <v>635</v>
      </c>
      <c r="U35" s="130">
        <v>2</v>
      </c>
      <c r="V35" s="60" t="s">
        <v>636</v>
      </c>
      <c r="W35" s="96"/>
      <c r="X35" s="122"/>
    </row>
    <row r="36" spans="2:24" ht="14.25" customHeight="1">
      <c r="B36" s="445"/>
      <c r="C36" s="446"/>
      <c r="D36" s="445"/>
      <c r="E36" s="405"/>
      <c r="F36" s="446"/>
      <c r="G36" s="412" t="s">
        <v>638</v>
      </c>
      <c r="H36" s="438"/>
      <c r="I36" s="375"/>
      <c r="J36" s="103" t="s">
        <v>624</v>
      </c>
      <c r="K36" s="116">
        <f>K34</f>
        <v>98</v>
      </c>
      <c r="L36" s="439">
        <f t="shared" si="0"/>
        <v>460</v>
      </c>
      <c r="M36" s="440"/>
      <c r="N36" s="370">
        <f t="shared" si="1"/>
        <v>45080</v>
      </c>
      <c r="O36" s="418"/>
      <c r="P36" s="128">
        <f>'[1]日数 (2)'!L76</f>
        <v>30.2</v>
      </c>
      <c r="Q36" s="62" t="s">
        <v>633</v>
      </c>
      <c r="R36" s="129">
        <f>R73</f>
        <v>761</v>
      </c>
      <c r="S36" s="79" t="s">
        <v>634</v>
      </c>
      <c r="T36" s="62" t="s">
        <v>635</v>
      </c>
      <c r="U36" s="130">
        <v>2</v>
      </c>
      <c r="V36" s="60" t="s">
        <v>636</v>
      </c>
      <c r="W36" s="96"/>
      <c r="X36" s="122"/>
    </row>
    <row r="37" spans="2:24" ht="14.25" customHeight="1">
      <c r="B37" s="445"/>
      <c r="C37" s="446"/>
      <c r="D37" s="445"/>
      <c r="E37" s="405"/>
      <c r="F37" s="446"/>
      <c r="G37" s="412" t="s">
        <v>639</v>
      </c>
      <c r="H37" s="438"/>
      <c r="I37" s="375"/>
      <c r="J37" s="103" t="s">
        <v>624</v>
      </c>
      <c r="K37" s="116">
        <f>K34</f>
        <v>98</v>
      </c>
      <c r="L37" s="439">
        <f t="shared" si="0"/>
        <v>460</v>
      </c>
      <c r="M37" s="440"/>
      <c r="N37" s="370">
        <f t="shared" si="1"/>
        <v>45080</v>
      </c>
      <c r="O37" s="418"/>
      <c r="P37" s="128">
        <f>'[1]日数 (2)'!L77</f>
        <v>30.2</v>
      </c>
      <c r="Q37" s="62" t="s">
        <v>633</v>
      </c>
      <c r="R37" s="129">
        <f>R73</f>
        <v>761</v>
      </c>
      <c r="S37" s="79" t="s">
        <v>634</v>
      </c>
      <c r="T37" s="62" t="s">
        <v>635</v>
      </c>
      <c r="U37" s="130">
        <v>2</v>
      </c>
      <c r="V37" s="60" t="s">
        <v>636</v>
      </c>
      <c r="W37" s="96"/>
      <c r="X37" s="122"/>
    </row>
    <row r="38" spans="2:24" ht="14.25" customHeight="1">
      <c r="B38" s="445"/>
      <c r="C38" s="446"/>
      <c r="D38" s="445"/>
      <c r="E38" s="405"/>
      <c r="F38" s="446"/>
      <c r="G38" s="412" t="s">
        <v>640</v>
      </c>
      <c r="H38" s="438"/>
      <c r="I38" s="375"/>
      <c r="J38" s="103" t="s">
        <v>624</v>
      </c>
      <c r="K38" s="116">
        <f>K34</f>
        <v>98</v>
      </c>
      <c r="L38" s="439">
        <f t="shared" si="0"/>
        <v>562</v>
      </c>
      <c r="M38" s="440"/>
      <c r="N38" s="370">
        <f t="shared" si="1"/>
        <v>55076</v>
      </c>
      <c r="O38" s="418"/>
      <c r="P38" s="128">
        <f>'[1]日数 (2)'!L78</f>
        <v>36.9</v>
      </c>
      <c r="Q38" s="62" t="s">
        <v>633</v>
      </c>
      <c r="R38" s="129">
        <f>R73</f>
        <v>761</v>
      </c>
      <c r="S38" s="79" t="s">
        <v>634</v>
      </c>
      <c r="T38" s="62" t="s">
        <v>635</v>
      </c>
      <c r="U38" s="130">
        <v>2</v>
      </c>
      <c r="V38" s="60" t="s">
        <v>636</v>
      </c>
      <c r="W38" s="96"/>
      <c r="X38" s="122"/>
    </row>
    <row r="39" spans="2:24" ht="14.25" hidden="1" customHeight="1">
      <c r="B39" s="445"/>
      <c r="C39" s="446"/>
      <c r="D39" s="445"/>
      <c r="E39" s="405"/>
      <c r="F39" s="446"/>
      <c r="G39" s="412" t="s">
        <v>641</v>
      </c>
      <c r="H39" s="438"/>
      <c r="I39" s="375"/>
      <c r="J39" s="103" t="s">
        <v>624</v>
      </c>
      <c r="K39" s="116">
        <f>K34</f>
        <v>98</v>
      </c>
      <c r="L39" s="439">
        <f t="shared" si="0"/>
        <v>0</v>
      </c>
      <c r="M39" s="440"/>
      <c r="N39" s="370">
        <f t="shared" si="1"/>
        <v>0</v>
      </c>
      <c r="O39" s="418"/>
      <c r="P39" s="128"/>
      <c r="Q39" s="62" t="s">
        <v>633</v>
      </c>
      <c r="R39" s="129">
        <f>R73</f>
        <v>761</v>
      </c>
      <c r="S39" s="79" t="s">
        <v>634</v>
      </c>
      <c r="T39" s="62" t="s">
        <v>635</v>
      </c>
      <c r="U39" s="130"/>
      <c r="V39" s="60" t="s">
        <v>636</v>
      </c>
      <c r="W39" s="96"/>
      <c r="X39" s="122"/>
    </row>
    <row r="40" spans="2:24" ht="14.25" hidden="1" customHeight="1">
      <c r="B40" s="445"/>
      <c r="C40" s="446"/>
      <c r="D40" s="445"/>
      <c r="E40" s="405"/>
      <c r="F40" s="446"/>
      <c r="G40" s="412" t="s">
        <v>642</v>
      </c>
      <c r="H40" s="438"/>
      <c r="I40" s="375"/>
      <c r="J40" s="103" t="s">
        <v>624</v>
      </c>
      <c r="K40" s="116">
        <f>K34</f>
        <v>98</v>
      </c>
      <c r="L40" s="439">
        <f t="shared" si="0"/>
        <v>0</v>
      </c>
      <c r="M40" s="440"/>
      <c r="N40" s="370">
        <f t="shared" si="1"/>
        <v>0</v>
      </c>
      <c r="O40" s="418"/>
      <c r="P40" s="128"/>
      <c r="Q40" s="62" t="s">
        <v>633</v>
      </c>
      <c r="R40" s="129">
        <f>R73</f>
        <v>761</v>
      </c>
      <c r="S40" s="79" t="s">
        <v>634</v>
      </c>
      <c r="T40" s="62" t="s">
        <v>635</v>
      </c>
      <c r="U40" s="130"/>
      <c r="V40" s="60" t="s">
        <v>636</v>
      </c>
      <c r="W40" s="96"/>
      <c r="X40" s="122"/>
    </row>
    <row r="41" spans="2:24" ht="14.25" hidden="1" customHeight="1">
      <c r="B41" s="445"/>
      <c r="C41" s="446"/>
      <c r="D41" s="445"/>
      <c r="E41" s="405"/>
      <c r="F41" s="446"/>
      <c r="G41" s="412" t="s">
        <v>643</v>
      </c>
      <c r="H41" s="438"/>
      <c r="I41" s="375"/>
      <c r="J41" s="103" t="s">
        <v>624</v>
      </c>
      <c r="K41" s="116">
        <f>K34</f>
        <v>98</v>
      </c>
      <c r="L41" s="439">
        <f t="shared" si="0"/>
        <v>0</v>
      </c>
      <c r="M41" s="440"/>
      <c r="N41" s="370">
        <f t="shared" si="1"/>
        <v>0</v>
      </c>
      <c r="O41" s="418"/>
      <c r="P41" s="128"/>
      <c r="Q41" s="62" t="s">
        <v>644</v>
      </c>
      <c r="R41" s="129">
        <f>R73</f>
        <v>761</v>
      </c>
      <c r="S41" s="79" t="s">
        <v>634</v>
      </c>
      <c r="T41" s="62" t="s">
        <v>635</v>
      </c>
      <c r="U41" s="130"/>
      <c r="V41" s="60" t="s">
        <v>636</v>
      </c>
      <c r="W41" s="96"/>
      <c r="X41" s="122"/>
    </row>
    <row r="42" spans="2:24" ht="14.25" hidden="1" customHeight="1">
      <c r="B42" s="445"/>
      <c r="C42" s="446"/>
      <c r="D42" s="445"/>
      <c r="E42" s="405"/>
      <c r="F42" s="446"/>
      <c r="G42" s="412" t="s">
        <v>645</v>
      </c>
      <c r="H42" s="438"/>
      <c r="I42" s="375"/>
      <c r="J42" s="103" t="s">
        <v>624</v>
      </c>
      <c r="K42" s="116">
        <f>K34</f>
        <v>98</v>
      </c>
      <c r="L42" s="439">
        <f t="shared" si="0"/>
        <v>0</v>
      </c>
      <c r="M42" s="440"/>
      <c r="N42" s="370">
        <f t="shared" si="1"/>
        <v>0</v>
      </c>
      <c r="O42" s="418"/>
      <c r="P42" s="128"/>
      <c r="Q42" s="62" t="s">
        <v>633</v>
      </c>
      <c r="R42" s="129">
        <f>R73</f>
        <v>761</v>
      </c>
      <c r="S42" s="79" t="s">
        <v>634</v>
      </c>
      <c r="T42" s="62" t="s">
        <v>635</v>
      </c>
      <c r="U42" s="130"/>
      <c r="V42" s="60" t="s">
        <v>636</v>
      </c>
      <c r="W42" s="96"/>
      <c r="X42" s="122"/>
    </row>
    <row r="43" spans="2:24" ht="14.25" hidden="1" customHeight="1">
      <c r="B43" s="445"/>
      <c r="C43" s="446"/>
      <c r="D43" s="445"/>
      <c r="E43" s="405"/>
      <c r="F43" s="446"/>
      <c r="G43" s="412" t="s">
        <v>646</v>
      </c>
      <c r="H43" s="438"/>
      <c r="I43" s="375"/>
      <c r="J43" s="103" t="s">
        <v>624</v>
      </c>
      <c r="K43" s="116">
        <f>K34</f>
        <v>98</v>
      </c>
      <c r="L43" s="439">
        <f t="shared" si="0"/>
        <v>0</v>
      </c>
      <c r="M43" s="440"/>
      <c r="N43" s="370">
        <f t="shared" si="1"/>
        <v>0</v>
      </c>
      <c r="O43" s="418"/>
      <c r="P43" s="128"/>
      <c r="Q43" s="62" t="s">
        <v>633</v>
      </c>
      <c r="R43" s="129">
        <f>R73</f>
        <v>761</v>
      </c>
      <c r="S43" s="79" t="s">
        <v>634</v>
      </c>
      <c r="T43" s="62" t="s">
        <v>635</v>
      </c>
      <c r="U43" s="130"/>
      <c r="V43" s="60" t="s">
        <v>636</v>
      </c>
      <c r="W43" s="96"/>
      <c r="X43" s="122"/>
    </row>
    <row r="44" spans="2:24" ht="14.25" hidden="1" customHeight="1">
      <c r="B44" s="445"/>
      <c r="C44" s="446"/>
      <c r="D44" s="445"/>
      <c r="E44" s="405"/>
      <c r="F44" s="446"/>
      <c r="G44" s="412" t="s">
        <v>647</v>
      </c>
      <c r="H44" s="438"/>
      <c r="I44" s="375"/>
      <c r="J44" s="103" t="s">
        <v>624</v>
      </c>
      <c r="K44" s="116">
        <f>K34</f>
        <v>98</v>
      </c>
      <c r="L44" s="439">
        <f t="shared" si="0"/>
        <v>0</v>
      </c>
      <c r="M44" s="440"/>
      <c r="N44" s="370">
        <f t="shared" si="1"/>
        <v>0</v>
      </c>
      <c r="O44" s="418"/>
      <c r="P44" s="128"/>
      <c r="Q44" s="62" t="s">
        <v>633</v>
      </c>
      <c r="R44" s="129">
        <f>R73</f>
        <v>761</v>
      </c>
      <c r="S44" s="79" t="s">
        <v>634</v>
      </c>
      <c r="T44" s="62" t="s">
        <v>635</v>
      </c>
      <c r="U44" s="130"/>
      <c r="V44" s="60" t="s">
        <v>636</v>
      </c>
      <c r="W44" s="96"/>
      <c r="X44" s="122"/>
    </row>
    <row r="45" spans="2:24" ht="14.25" hidden="1" customHeight="1">
      <c r="B45" s="445"/>
      <c r="C45" s="446"/>
      <c r="D45" s="445"/>
      <c r="E45" s="405"/>
      <c r="F45" s="446"/>
      <c r="G45" s="412" t="s">
        <v>648</v>
      </c>
      <c r="H45" s="438"/>
      <c r="I45" s="375"/>
      <c r="J45" s="103" t="s">
        <v>624</v>
      </c>
      <c r="K45" s="116">
        <f>K34</f>
        <v>98</v>
      </c>
      <c r="L45" s="439">
        <f t="shared" si="0"/>
        <v>0</v>
      </c>
      <c r="M45" s="440"/>
      <c r="N45" s="370">
        <f t="shared" si="1"/>
        <v>0</v>
      </c>
      <c r="O45" s="418"/>
      <c r="P45" s="128"/>
      <c r="Q45" s="62" t="s">
        <v>633</v>
      </c>
      <c r="R45" s="129">
        <f>R73</f>
        <v>761</v>
      </c>
      <c r="S45" s="79" t="s">
        <v>634</v>
      </c>
      <c r="T45" s="62" t="s">
        <v>635</v>
      </c>
      <c r="U45" s="130"/>
      <c r="V45" s="60" t="s">
        <v>636</v>
      </c>
      <c r="W45" s="96"/>
      <c r="X45" s="122"/>
    </row>
    <row r="46" spans="2:24" ht="14.25" hidden="1" customHeight="1">
      <c r="B46" s="445"/>
      <c r="C46" s="446"/>
      <c r="D46" s="445"/>
      <c r="E46" s="405"/>
      <c r="F46" s="446"/>
      <c r="G46" s="412" t="s">
        <v>649</v>
      </c>
      <c r="H46" s="438"/>
      <c r="I46" s="375"/>
      <c r="J46" s="103" t="s">
        <v>624</v>
      </c>
      <c r="K46" s="116">
        <f>K34</f>
        <v>98</v>
      </c>
      <c r="L46" s="439">
        <f t="shared" si="0"/>
        <v>0</v>
      </c>
      <c r="M46" s="440"/>
      <c r="N46" s="370">
        <f t="shared" si="1"/>
        <v>0</v>
      </c>
      <c r="O46" s="418"/>
      <c r="P46" s="128"/>
      <c r="Q46" s="62" t="s">
        <v>633</v>
      </c>
      <c r="R46" s="129">
        <f>R73</f>
        <v>761</v>
      </c>
      <c r="S46" s="79" t="s">
        <v>634</v>
      </c>
      <c r="T46" s="62" t="s">
        <v>635</v>
      </c>
      <c r="U46" s="130"/>
      <c r="V46" s="60" t="s">
        <v>636</v>
      </c>
      <c r="W46" s="96"/>
      <c r="X46" s="122"/>
    </row>
    <row r="47" spans="2:24" ht="14.25" hidden="1" customHeight="1">
      <c r="B47" s="445"/>
      <c r="C47" s="446"/>
      <c r="D47" s="445"/>
      <c r="E47" s="405"/>
      <c r="F47" s="446"/>
      <c r="G47" s="412" t="s">
        <v>650</v>
      </c>
      <c r="H47" s="438"/>
      <c r="I47" s="375"/>
      <c r="J47" s="103" t="s">
        <v>624</v>
      </c>
      <c r="K47" s="116">
        <f>K34</f>
        <v>98</v>
      </c>
      <c r="L47" s="439">
        <f t="shared" si="0"/>
        <v>0</v>
      </c>
      <c r="M47" s="440"/>
      <c r="N47" s="370">
        <f t="shared" si="1"/>
        <v>0</v>
      </c>
      <c r="O47" s="418"/>
      <c r="P47" s="128"/>
      <c r="Q47" s="62" t="s">
        <v>633</v>
      </c>
      <c r="R47" s="129">
        <f>R73</f>
        <v>761</v>
      </c>
      <c r="S47" s="79" t="s">
        <v>634</v>
      </c>
      <c r="T47" s="62" t="s">
        <v>635</v>
      </c>
      <c r="U47" s="130"/>
      <c r="V47" s="60" t="s">
        <v>636</v>
      </c>
      <c r="W47" s="96"/>
      <c r="X47" s="122"/>
    </row>
    <row r="48" spans="2:24" ht="14.25" hidden="1" customHeight="1">
      <c r="B48" s="445"/>
      <c r="C48" s="446"/>
      <c r="D48" s="445"/>
      <c r="E48" s="405"/>
      <c r="F48" s="446"/>
      <c r="G48" s="412" t="s">
        <v>651</v>
      </c>
      <c r="H48" s="438"/>
      <c r="I48" s="375"/>
      <c r="J48" s="103" t="s">
        <v>624</v>
      </c>
      <c r="K48" s="116">
        <f>K34</f>
        <v>98</v>
      </c>
      <c r="L48" s="439">
        <f t="shared" si="0"/>
        <v>0</v>
      </c>
      <c r="M48" s="440"/>
      <c r="N48" s="370">
        <f t="shared" si="1"/>
        <v>0</v>
      </c>
      <c r="O48" s="418"/>
      <c r="P48" s="128"/>
      <c r="Q48" s="62" t="s">
        <v>633</v>
      </c>
      <c r="R48" s="129">
        <f>R73</f>
        <v>761</v>
      </c>
      <c r="S48" s="79" t="s">
        <v>634</v>
      </c>
      <c r="T48" s="62" t="s">
        <v>635</v>
      </c>
      <c r="U48" s="130"/>
      <c r="V48" s="60" t="s">
        <v>636</v>
      </c>
      <c r="W48" s="96"/>
      <c r="X48" s="122"/>
    </row>
    <row r="49" spans="2:24" ht="14.25" hidden="1" customHeight="1">
      <c r="B49" s="445"/>
      <c r="C49" s="446"/>
      <c r="D49" s="445"/>
      <c r="E49" s="405"/>
      <c r="F49" s="446"/>
      <c r="G49" s="412" t="s">
        <v>652</v>
      </c>
      <c r="H49" s="438"/>
      <c r="I49" s="375"/>
      <c r="J49" s="103" t="s">
        <v>624</v>
      </c>
      <c r="K49" s="116">
        <f>K34</f>
        <v>98</v>
      </c>
      <c r="L49" s="439">
        <f t="shared" si="0"/>
        <v>0</v>
      </c>
      <c r="M49" s="440"/>
      <c r="N49" s="370">
        <f t="shared" si="1"/>
        <v>0</v>
      </c>
      <c r="O49" s="418"/>
      <c r="P49" s="128"/>
      <c r="Q49" s="62" t="s">
        <v>633</v>
      </c>
      <c r="R49" s="129">
        <f>R73</f>
        <v>761</v>
      </c>
      <c r="S49" s="79" t="s">
        <v>634</v>
      </c>
      <c r="T49" s="62" t="s">
        <v>635</v>
      </c>
      <c r="U49" s="130"/>
      <c r="V49" s="60" t="s">
        <v>636</v>
      </c>
      <c r="W49" s="96"/>
      <c r="X49" s="122"/>
    </row>
    <row r="50" spans="2:24" ht="14.25" hidden="1" customHeight="1">
      <c r="B50" s="445"/>
      <c r="C50" s="446"/>
      <c r="D50" s="445"/>
      <c r="E50" s="405"/>
      <c r="F50" s="446"/>
      <c r="G50" s="412" t="s">
        <v>653</v>
      </c>
      <c r="H50" s="438"/>
      <c r="I50" s="375"/>
      <c r="J50" s="103" t="s">
        <v>624</v>
      </c>
      <c r="K50" s="116">
        <f>K34</f>
        <v>98</v>
      </c>
      <c r="L50" s="439">
        <f t="shared" si="0"/>
        <v>0</v>
      </c>
      <c r="M50" s="440"/>
      <c r="N50" s="370">
        <f t="shared" si="1"/>
        <v>0</v>
      </c>
      <c r="O50" s="418"/>
      <c r="P50" s="128"/>
      <c r="Q50" s="62" t="s">
        <v>633</v>
      </c>
      <c r="R50" s="129">
        <f>R73</f>
        <v>761</v>
      </c>
      <c r="S50" s="79" t="s">
        <v>634</v>
      </c>
      <c r="T50" s="62" t="s">
        <v>635</v>
      </c>
      <c r="U50" s="130"/>
      <c r="V50" s="60" t="s">
        <v>636</v>
      </c>
      <c r="W50" s="96"/>
      <c r="X50" s="122"/>
    </row>
    <row r="51" spans="2:24" ht="14.25" hidden="1" customHeight="1">
      <c r="B51" s="445"/>
      <c r="C51" s="446"/>
      <c r="D51" s="445"/>
      <c r="E51" s="405"/>
      <c r="F51" s="446"/>
      <c r="G51" s="412" t="s">
        <v>654</v>
      </c>
      <c r="H51" s="438"/>
      <c r="I51" s="375"/>
      <c r="J51" s="103" t="s">
        <v>624</v>
      </c>
      <c r="K51" s="116">
        <f>K34</f>
        <v>98</v>
      </c>
      <c r="L51" s="439">
        <f t="shared" si="0"/>
        <v>0</v>
      </c>
      <c r="M51" s="440"/>
      <c r="N51" s="370">
        <f t="shared" si="1"/>
        <v>0</v>
      </c>
      <c r="O51" s="418"/>
      <c r="P51" s="128"/>
      <c r="Q51" s="62" t="s">
        <v>633</v>
      </c>
      <c r="R51" s="129">
        <f>R73</f>
        <v>761</v>
      </c>
      <c r="S51" s="79" t="s">
        <v>634</v>
      </c>
      <c r="T51" s="62" t="s">
        <v>635</v>
      </c>
      <c r="U51" s="130"/>
      <c r="V51" s="60" t="s">
        <v>636</v>
      </c>
      <c r="W51" s="96"/>
      <c r="X51" s="122"/>
    </row>
    <row r="52" spans="2:24" ht="14.25" hidden="1" customHeight="1">
      <c r="B52" s="445"/>
      <c r="C52" s="446"/>
      <c r="D52" s="445"/>
      <c r="E52" s="405"/>
      <c r="F52" s="446"/>
      <c r="G52" s="412" t="s">
        <v>655</v>
      </c>
      <c r="H52" s="438"/>
      <c r="I52" s="375"/>
      <c r="J52" s="103" t="s">
        <v>624</v>
      </c>
      <c r="K52" s="116">
        <f>K34</f>
        <v>98</v>
      </c>
      <c r="L52" s="439">
        <f t="shared" si="0"/>
        <v>0</v>
      </c>
      <c r="M52" s="440"/>
      <c r="N52" s="370">
        <f t="shared" si="1"/>
        <v>0</v>
      </c>
      <c r="O52" s="418"/>
      <c r="P52" s="128"/>
      <c r="Q52" s="62" t="s">
        <v>633</v>
      </c>
      <c r="R52" s="129">
        <f>R73</f>
        <v>761</v>
      </c>
      <c r="S52" s="79" t="s">
        <v>634</v>
      </c>
      <c r="T52" s="62" t="s">
        <v>635</v>
      </c>
      <c r="U52" s="130"/>
      <c r="V52" s="60" t="s">
        <v>636</v>
      </c>
      <c r="W52" s="96"/>
      <c r="X52" s="122"/>
    </row>
    <row r="53" spans="2:24" ht="14.25" hidden="1" customHeight="1">
      <c r="B53" s="445"/>
      <c r="C53" s="446"/>
      <c r="D53" s="445"/>
      <c r="E53" s="405"/>
      <c r="F53" s="446"/>
      <c r="G53" s="412" t="s">
        <v>656</v>
      </c>
      <c r="H53" s="438"/>
      <c r="I53" s="375"/>
      <c r="J53" s="103" t="s">
        <v>624</v>
      </c>
      <c r="K53" s="116">
        <f>K34</f>
        <v>98</v>
      </c>
      <c r="L53" s="439">
        <f t="shared" si="0"/>
        <v>0</v>
      </c>
      <c r="M53" s="440"/>
      <c r="N53" s="370">
        <f t="shared" si="1"/>
        <v>0</v>
      </c>
      <c r="O53" s="418"/>
      <c r="P53" s="128"/>
      <c r="Q53" s="62" t="s">
        <v>633</v>
      </c>
      <c r="R53" s="129">
        <f>R73</f>
        <v>761</v>
      </c>
      <c r="S53" s="79" t="s">
        <v>634</v>
      </c>
      <c r="T53" s="62" t="s">
        <v>635</v>
      </c>
      <c r="U53" s="130"/>
      <c r="V53" s="60" t="s">
        <v>636</v>
      </c>
      <c r="W53" s="96"/>
      <c r="X53" s="122"/>
    </row>
    <row r="54" spans="2:24" ht="14.25" hidden="1" customHeight="1">
      <c r="B54" s="445"/>
      <c r="C54" s="446"/>
      <c r="D54" s="445"/>
      <c r="E54" s="405"/>
      <c r="F54" s="446"/>
      <c r="G54" s="412" t="s">
        <v>657</v>
      </c>
      <c r="H54" s="438"/>
      <c r="I54" s="375"/>
      <c r="J54" s="103" t="s">
        <v>624</v>
      </c>
      <c r="K54" s="116">
        <f>K34</f>
        <v>98</v>
      </c>
      <c r="L54" s="439">
        <f t="shared" si="0"/>
        <v>0</v>
      </c>
      <c r="M54" s="440"/>
      <c r="N54" s="370">
        <f t="shared" si="1"/>
        <v>0</v>
      </c>
      <c r="O54" s="418"/>
      <c r="P54" s="128"/>
      <c r="Q54" s="62" t="s">
        <v>633</v>
      </c>
      <c r="R54" s="129">
        <f>R73</f>
        <v>761</v>
      </c>
      <c r="S54" s="79" t="s">
        <v>634</v>
      </c>
      <c r="T54" s="62" t="s">
        <v>635</v>
      </c>
      <c r="U54" s="130"/>
      <c r="V54" s="60" t="s">
        <v>636</v>
      </c>
      <c r="W54" s="96"/>
      <c r="X54" s="122"/>
    </row>
    <row r="55" spans="2:24" ht="14.25" hidden="1" customHeight="1">
      <c r="B55" s="445"/>
      <c r="C55" s="446"/>
      <c r="D55" s="445"/>
      <c r="E55" s="405"/>
      <c r="F55" s="446"/>
      <c r="G55" s="412" t="s">
        <v>658</v>
      </c>
      <c r="H55" s="438"/>
      <c r="I55" s="375"/>
      <c r="J55" s="103" t="s">
        <v>624</v>
      </c>
      <c r="K55" s="116">
        <f>K34</f>
        <v>98</v>
      </c>
      <c r="L55" s="439">
        <f t="shared" si="0"/>
        <v>0</v>
      </c>
      <c r="M55" s="440"/>
      <c r="N55" s="370">
        <f t="shared" si="1"/>
        <v>0</v>
      </c>
      <c r="O55" s="418"/>
      <c r="P55" s="128"/>
      <c r="Q55" s="62" t="s">
        <v>633</v>
      </c>
      <c r="R55" s="129">
        <f>R73</f>
        <v>761</v>
      </c>
      <c r="S55" s="79" t="s">
        <v>634</v>
      </c>
      <c r="T55" s="62" t="s">
        <v>635</v>
      </c>
      <c r="U55" s="130"/>
      <c r="V55" s="60" t="s">
        <v>636</v>
      </c>
      <c r="W55" s="96"/>
      <c r="X55" s="122"/>
    </row>
    <row r="56" spans="2:24" ht="14.25" hidden="1" customHeight="1">
      <c r="B56" s="445"/>
      <c r="C56" s="446"/>
      <c r="D56" s="445"/>
      <c r="E56" s="405"/>
      <c r="F56" s="446"/>
      <c r="G56" s="412" t="s">
        <v>659</v>
      </c>
      <c r="H56" s="438"/>
      <c r="I56" s="375"/>
      <c r="J56" s="103" t="s">
        <v>624</v>
      </c>
      <c r="K56" s="116">
        <f>K34</f>
        <v>98</v>
      </c>
      <c r="L56" s="439">
        <f t="shared" si="0"/>
        <v>0</v>
      </c>
      <c r="M56" s="440"/>
      <c r="N56" s="370">
        <f t="shared" si="1"/>
        <v>0</v>
      </c>
      <c r="O56" s="418"/>
      <c r="P56" s="128"/>
      <c r="Q56" s="62" t="s">
        <v>633</v>
      </c>
      <c r="R56" s="129">
        <f>R73</f>
        <v>761</v>
      </c>
      <c r="S56" s="79" t="s">
        <v>634</v>
      </c>
      <c r="T56" s="62" t="s">
        <v>635</v>
      </c>
      <c r="U56" s="130"/>
      <c r="V56" s="60" t="s">
        <v>636</v>
      </c>
      <c r="W56" s="96"/>
      <c r="X56" s="122"/>
    </row>
    <row r="57" spans="2:24" ht="14.25" hidden="1" customHeight="1">
      <c r="B57" s="445"/>
      <c r="C57" s="446"/>
      <c r="D57" s="445"/>
      <c r="E57" s="405"/>
      <c r="F57" s="446"/>
      <c r="G57" s="412" t="s">
        <v>660</v>
      </c>
      <c r="H57" s="438"/>
      <c r="I57" s="375"/>
      <c r="J57" s="103" t="s">
        <v>624</v>
      </c>
      <c r="K57" s="116">
        <f>K34</f>
        <v>98</v>
      </c>
      <c r="L57" s="439">
        <f t="shared" si="0"/>
        <v>0</v>
      </c>
      <c r="M57" s="440"/>
      <c r="N57" s="370">
        <f t="shared" si="1"/>
        <v>0</v>
      </c>
      <c r="O57" s="418"/>
      <c r="P57" s="128"/>
      <c r="Q57" s="62" t="s">
        <v>633</v>
      </c>
      <c r="R57" s="129">
        <f>R73</f>
        <v>761</v>
      </c>
      <c r="S57" s="79" t="s">
        <v>634</v>
      </c>
      <c r="T57" s="62" t="s">
        <v>635</v>
      </c>
      <c r="U57" s="130"/>
      <c r="V57" s="60" t="s">
        <v>636</v>
      </c>
      <c r="W57" s="96"/>
      <c r="X57" s="122"/>
    </row>
    <row r="58" spans="2:24" ht="14.25" hidden="1" customHeight="1">
      <c r="B58" s="445"/>
      <c r="C58" s="446"/>
      <c r="D58" s="445"/>
      <c r="E58" s="405"/>
      <c r="F58" s="446"/>
      <c r="G58" s="412" t="s">
        <v>661</v>
      </c>
      <c r="H58" s="438"/>
      <c r="I58" s="375"/>
      <c r="J58" s="103" t="s">
        <v>624</v>
      </c>
      <c r="K58" s="116">
        <f>K34</f>
        <v>98</v>
      </c>
      <c r="L58" s="439">
        <f t="shared" si="0"/>
        <v>0</v>
      </c>
      <c r="M58" s="440"/>
      <c r="N58" s="370">
        <f t="shared" si="1"/>
        <v>0</v>
      </c>
      <c r="O58" s="418"/>
      <c r="P58" s="128"/>
      <c r="Q58" s="62" t="s">
        <v>633</v>
      </c>
      <c r="R58" s="129">
        <f>R73</f>
        <v>761</v>
      </c>
      <c r="S58" s="79" t="s">
        <v>634</v>
      </c>
      <c r="T58" s="62" t="s">
        <v>635</v>
      </c>
      <c r="U58" s="130"/>
      <c r="V58" s="60" t="s">
        <v>636</v>
      </c>
      <c r="W58" s="96"/>
      <c r="X58" s="122"/>
    </row>
    <row r="59" spans="2:24" ht="14.25" hidden="1" customHeight="1">
      <c r="B59" s="445"/>
      <c r="C59" s="446"/>
      <c r="D59" s="445"/>
      <c r="E59" s="405"/>
      <c r="F59" s="446"/>
      <c r="G59" s="412" t="s">
        <v>662</v>
      </c>
      <c r="H59" s="438"/>
      <c r="I59" s="375"/>
      <c r="J59" s="103" t="s">
        <v>624</v>
      </c>
      <c r="K59" s="116">
        <f>K34</f>
        <v>98</v>
      </c>
      <c r="L59" s="439">
        <f t="shared" si="0"/>
        <v>0</v>
      </c>
      <c r="M59" s="440"/>
      <c r="N59" s="370">
        <f t="shared" si="1"/>
        <v>0</v>
      </c>
      <c r="O59" s="418"/>
      <c r="P59" s="128"/>
      <c r="Q59" s="62" t="s">
        <v>633</v>
      </c>
      <c r="R59" s="129">
        <f>R73</f>
        <v>761</v>
      </c>
      <c r="S59" s="79" t="s">
        <v>634</v>
      </c>
      <c r="T59" s="62" t="s">
        <v>635</v>
      </c>
      <c r="U59" s="130"/>
      <c r="V59" s="60" t="s">
        <v>636</v>
      </c>
      <c r="W59" s="96"/>
      <c r="X59" s="122"/>
    </row>
    <row r="60" spans="2:24" ht="14.25" hidden="1" customHeight="1">
      <c r="B60" s="445"/>
      <c r="C60" s="446"/>
      <c r="D60" s="445"/>
      <c r="E60" s="405"/>
      <c r="F60" s="446"/>
      <c r="G60" s="412" t="s">
        <v>663</v>
      </c>
      <c r="H60" s="438"/>
      <c r="I60" s="375"/>
      <c r="J60" s="103" t="s">
        <v>624</v>
      </c>
      <c r="K60" s="116">
        <f>K34</f>
        <v>98</v>
      </c>
      <c r="L60" s="439">
        <f t="shared" si="0"/>
        <v>0</v>
      </c>
      <c r="M60" s="440"/>
      <c r="N60" s="370">
        <f t="shared" si="1"/>
        <v>0</v>
      </c>
      <c r="O60" s="418"/>
      <c r="P60" s="128"/>
      <c r="Q60" s="62" t="s">
        <v>633</v>
      </c>
      <c r="R60" s="129">
        <f>R73</f>
        <v>761</v>
      </c>
      <c r="S60" s="79" t="s">
        <v>634</v>
      </c>
      <c r="T60" s="62" t="s">
        <v>635</v>
      </c>
      <c r="U60" s="130"/>
      <c r="V60" s="60" t="s">
        <v>636</v>
      </c>
      <c r="W60" s="96"/>
      <c r="X60" s="122"/>
    </row>
    <row r="61" spans="2:24" ht="14.25" hidden="1" customHeight="1">
      <c r="B61" s="445"/>
      <c r="C61" s="446"/>
      <c r="D61" s="445"/>
      <c r="E61" s="405"/>
      <c r="F61" s="446"/>
      <c r="G61" s="412" t="s">
        <v>664</v>
      </c>
      <c r="H61" s="438"/>
      <c r="I61" s="375"/>
      <c r="J61" s="103" t="s">
        <v>624</v>
      </c>
      <c r="K61" s="116">
        <f>K34</f>
        <v>98</v>
      </c>
      <c r="L61" s="439">
        <f t="shared" si="0"/>
        <v>0</v>
      </c>
      <c r="M61" s="440"/>
      <c r="N61" s="370">
        <f t="shared" si="1"/>
        <v>0</v>
      </c>
      <c r="O61" s="418"/>
      <c r="P61" s="128"/>
      <c r="Q61" s="62" t="s">
        <v>633</v>
      </c>
      <c r="R61" s="129">
        <f>R73</f>
        <v>761</v>
      </c>
      <c r="S61" s="79" t="s">
        <v>634</v>
      </c>
      <c r="T61" s="62" t="s">
        <v>635</v>
      </c>
      <c r="U61" s="130"/>
      <c r="V61" s="60" t="s">
        <v>636</v>
      </c>
      <c r="W61" s="96"/>
      <c r="X61" s="122"/>
    </row>
    <row r="62" spans="2:24" ht="14.25" hidden="1" customHeight="1">
      <c r="B62" s="445"/>
      <c r="C62" s="446"/>
      <c r="D62" s="445"/>
      <c r="E62" s="405"/>
      <c r="F62" s="446"/>
      <c r="G62" s="412" t="s">
        <v>665</v>
      </c>
      <c r="H62" s="438"/>
      <c r="I62" s="375"/>
      <c r="J62" s="103" t="s">
        <v>624</v>
      </c>
      <c r="K62" s="116">
        <f>K34</f>
        <v>98</v>
      </c>
      <c r="L62" s="439">
        <f t="shared" si="0"/>
        <v>0</v>
      </c>
      <c r="M62" s="440"/>
      <c r="N62" s="370">
        <f t="shared" si="1"/>
        <v>0</v>
      </c>
      <c r="O62" s="418"/>
      <c r="P62" s="128"/>
      <c r="Q62" s="62" t="s">
        <v>633</v>
      </c>
      <c r="R62" s="129">
        <f>R73</f>
        <v>761</v>
      </c>
      <c r="S62" s="79" t="s">
        <v>634</v>
      </c>
      <c r="T62" s="62" t="s">
        <v>635</v>
      </c>
      <c r="U62" s="130"/>
      <c r="V62" s="60" t="s">
        <v>636</v>
      </c>
      <c r="W62" s="96"/>
      <c r="X62" s="122"/>
    </row>
    <row r="63" spans="2:24" ht="14.25" hidden="1" customHeight="1">
      <c r="B63" s="445"/>
      <c r="C63" s="446"/>
      <c r="D63" s="445"/>
      <c r="E63" s="405"/>
      <c r="F63" s="446"/>
      <c r="G63" s="412" t="s">
        <v>666</v>
      </c>
      <c r="H63" s="438"/>
      <c r="I63" s="375"/>
      <c r="J63" s="103" t="s">
        <v>624</v>
      </c>
      <c r="K63" s="116">
        <f>K34</f>
        <v>98</v>
      </c>
      <c r="L63" s="439">
        <f t="shared" si="0"/>
        <v>0</v>
      </c>
      <c r="M63" s="440"/>
      <c r="N63" s="370">
        <f t="shared" si="1"/>
        <v>0</v>
      </c>
      <c r="O63" s="418"/>
      <c r="P63" s="128"/>
      <c r="Q63" s="62" t="s">
        <v>633</v>
      </c>
      <c r="R63" s="129">
        <f>R73</f>
        <v>761</v>
      </c>
      <c r="S63" s="79" t="s">
        <v>634</v>
      </c>
      <c r="T63" s="62" t="s">
        <v>635</v>
      </c>
      <c r="U63" s="130"/>
      <c r="V63" s="60" t="s">
        <v>636</v>
      </c>
      <c r="W63" s="96"/>
      <c r="X63" s="122"/>
    </row>
    <row r="64" spans="2:24" ht="14.25" customHeight="1">
      <c r="B64" s="368"/>
      <c r="C64" s="368"/>
      <c r="D64" s="368"/>
      <c r="E64" s="368"/>
      <c r="F64" s="368"/>
      <c r="G64" s="424"/>
      <c r="H64" s="413"/>
      <c r="I64" s="425"/>
      <c r="J64" s="103"/>
      <c r="K64" s="127"/>
      <c r="L64" s="447"/>
      <c r="M64" s="448"/>
      <c r="N64" s="381"/>
      <c r="O64" s="371"/>
      <c r="P64" s="131" t="s">
        <v>667</v>
      </c>
      <c r="Q64" s="132"/>
      <c r="R64" s="132"/>
      <c r="S64" s="132"/>
      <c r="T64" s="132"/>
      <c r="U64" s="132"/>
      <c r="V64" s="132"/>
      <c r="W64" s="132"/>
      <c r="X64" s="133"/>
    </row>
    <row r="65" spans="2:24" ht="14.25" customHeight="1">
      <c r="B65" s="369"/>
      <c r="C65" s="369"/>
      <c r="D65" s="369" t="s">
        <v>237</v>
      </c>
      <c r="E65" s="369"/>
      <c r="F65" s="369"/>
      <c r="G65" s="424"/>
      <c r="H65" s="413"/>
      <c r="I65" s="425"/>
      <c r="J65" s="103"/>
      <c r="K65" s="104">
        <f>'[1]日数 (2)'!J44</f>
        <v>195</v>
      </c>
      <c r="L65" s="370">
        <f>INT(Cel工事_ベント基礎工_金額計 / Cel工事_ベント基礎工_数量計)</f>
        <v>3985</v>
      </c>
      <c r="M65" s="371"/>
      <c r="N65" s="370">
        <f>SUM(N28:O64)</f>
        <v>777233</v>
      </c>
      <c r="O65" s="418"/>
      <c r="P65" s="134"/>
      <c r="Q65" s="135"/>
      <c r="R65" s="135"/>
      <c r="S65" s="135"/>
      <c r="T65" s="135"/>
      <c r="U65" s="135"/>
      <c r="V65" s="135"/>
      <c r="W65" s="135"/>
      <c r="X65" s="115"/>
    </row>
    <row r="66" spans="2:24" ht="14.25" customHeight="1"/>
    <row r="67" spans="2:24" ht="14.25" customHeight="1"/>
    <row r="68" spans="2:24" ht="14.25" customHeight="1">
      <c r="B68" s="99" t="s">
        <v>668</v>
      </c>
      <c r="V68" s="112"/>
    </row>
    <row r="69" spans="2:24" ht="14.25" customHeight="1">
      <c r="B69" s="369" t="s">
        <v>566</v>
      </c>
      <c r="C69" s="369"/>
      <c r="D69" s="338" t="s">
        <v>567</v>
      </c>
      <c r="E69" s="369"/>
      <c r="F69" s="369"/>
      <c r="G69" s="369" t="s">
        <v>611</v>
      </c>
      <c r="H69" s="369"/>
      <c r="I69" s="369"/>
      <c r="J69" s="103" t="s">
        <v>568</v>
      </c>
      <c r="K69" s="103" t="s">
        <v>569</v>
      </c>
      <c r="L69" s="369" t="s">
        <v>612</v>
      </c>
      <c r="M69" s="369"/>
      <c r="N69" s="369" t="s">
        <v>613</v>
      </c>
      <c r="O69" s="369"/>
      <c r="P69" s="369" t="s">
        <v>614</v>
      </c>
      <c r="Q69" s="369"/>
      <c r="R69" s="369"/>
      <c r="S69" s="369"/>
      <c r="T69" s="369"/>
      <c r="U69" s="369"/>
      <c r="V69" s="369"/>
      <c r="W69" s="369"/>
      <c r="X69" s="369"/>
    </row>
    <row r="70" spans="2:24" ht="14.25" customHeight="1">
      <c r="B70" s="379" t="s">
        <v>615</v>
      </c>
      <c r="C70" s="379"/>
      <c r="D70" s="369" t="s">
        <v>616</v>
      </c>
      <c r="E70" s="369"/>
      <c r="F70" s="369"/>
      <c r="G70" s="113" t="s">
        <v>617</v>
      </c>
      <c r="H70" s="114">
        <v>1</v>
      </c>
      <c r="I70" s="115" t="s">
        <v>618</v>
      </c>
      <c r="J70" s="103" t="s">
        <v>619</v>
      </c>
      <c r="K70" s="116">
        <f>H70*R70</f>
        <v>21.4</v>
      </c>
      <c r="L70" s="439">
        <f>L141</f>
        <v>33710</v>
      </c>
      <c r="M70" s="440"/>
      <c r="N70" s="372">
        <f t="shared" ref="N70:N104" si="2">L70*K70</f>
        <v>721394</v>
      </c>
      <c r="O70" s="372"/>
      <c r="P70" s="384" t="s">
        <v>669</v>
      </c>
      <c r="Q70" s="384"/>
      <c r="R70" s="117">
        <f>'[1]日数 (2)'!D120</f>
        <v>21.4</v>
      </c>
      <c r="S70" s="118" t="s">
        <v>118</v>
      </c>
      <c r="T70" s="118"/>
      <c r="U70" s="118"/>
      <c r="V70" s="118"/>
      <c r="W70" s="118"/>
      <c r="X70" s="120"/>
    </row>
    <row r="71" spans="2:24" ht="14.25" customHeight="1">
      <c r="B71" s="385"/>
      <c r="C71" s="385"/>
      <c r="D71" s="369" t="s">
        <v>623</v>
      </c>
      <c r="E71" s="369"/>
      <c r="F71" s="369"/>
      <c r="G71" s="113" t="s">
        <v>617</v>
      </c>
      <c r="H71" s="114">
        <v>5</v>
      </c>
      <c r="I71" s="115" t="s">
        <v>618</v>
      </c>
      <c r="J71" s="103" t="s">
        <v>624</v>
      </c>
      <c r="K71" s="116">
        <f>H71*R70</f>
        <v>107</v>
      </c>
      <c r="L71" s="439">
        <f>L142</f>
        <v>28930</v>
      </c>
      <c r="M71" s="440"/>
      <c r="N71" s="372">
        <f t="shared" si="2"/>
        <v>3095510</v>
      </c>
      <c r="O71" s="372"/>
      <c r="P71" s="96"/>
      <c r="Q71" s="96"/>
      <c r="R71" s="96"/>
      <c r="S71" s="96"/>
      <c r="T71" s="96"/>
      <c r="U71" s="96"/>
      <c r="V71" s="96"/>
      <c r="W71" s="96"/>
      <c r="X71" s="122"/>
    </row>
    <row r="72" spans="2:24" ht="14.25" customHeight="1">
      <c r="B72" s="368"/>
      <c r="C72" s="368"/>
      <c r="D72" s="369" t="s">
        <v>625</v>
      </c>
      <c r="E72" s="369"/>
      <c r="F72" s="369"/>
      <c r="G72" s="113" t="s">
        <v>617</v>
      </c>
      <c r="H72" s="114"/>
      <c r="I72" s="115" t="s">
        <v>618</v>
      </c>
      <c r="J72" s="103" t="s">
        <v>624</v>
      </c>
      <c r="K72" s="116">
        <f>H72*R70</f>
        <v>0</v>
      </c>
      <c r="L72" s="439">
        <f>L143</f>
        <v>18800</v>
      </c>
      <c r="M72" s="440"/>
      <c r="N72" s="372">
        <f t="shared" si="2"/>
        <v>0</v>
      </c>
      <c r="O72" s="372"/>
      <c r="P72" s="96"/>
      <c r="Q72" s="96"/>
      <c r="R72" s="96"/>
      <c r="S72" s="96"/>
      <c r="T72" s="96"/>
      <c r="U72" s="96"/>
      <c r="V72" s="96"/>
      <c r="W72" s="96"/>
      <c r="X72" s="122"/>
    </row>
    <row r="73" spans="2:24" ht="14.25" customHeight="1">
      <c r="B73" s="379" t="s">
        <v>626</v>
      </c>
      <c r="C73" s="379"/>
      <c r="D73" s="369" t="s">
        <v>670</v>
      </c>
      <c r="E73" s="369"/>
      <c r="F73" s="369"/>
      <c r="G73" s="424"/>
      <c r="H73" s="413"/>
      <c r="I73" s="425"/>
      <c r="J73" s="103" t="s">
        <v>118</v>
      </c>
      <c r="K73" s="116">
        <f>K34</f>
        <v>98</v>
      </c>
      <c r="L73" s="383">
        <f>U73</f>
        <v>115596</v>
      </c>
      <c r="M73" s="383"/>
      <c r="N73" s="372">
        <f t="shared" si="2"/>
        <v>11328408</v>
      </c>
      <c r="O73" s="372"/>
      <c r="P73" s="128">
        <f>'[1]日数 (2)'!L104</f>
        <v>151.9</v>
      </c>
      <c r="Q73" s="62" t="s">
        <v>633</v>
      </c>
      <c r="R73" s="136">
        <v>761</v>
      </c>
      <c r="S73" s="79" t="s">
        <v>634</v>
      </c>
      <c r="T73" s="62" t="s">
        <v>671</v>
      </c>
      <c r="U73" s="137">
        <f>ROUND(P73*R73,0)</f>
        <v>115596</v>
      </c>
      <c r="V73" s="60" t="s">
        <v>672</v>
      </c>
      <c r="W73" s="96"/>
      <c r="X73" s="122"/>
    </row>
    <row r="74" spans="2:24" ht="14.25" customHeight="1">
      <c r="B74" s="385"/>
      <c r="C74" s="385"/>
      <c r="D74" s="379" t="s">
        <v>673</v>
      </c>
      <c r="E74" s="379"/>
      <c r="F74" s="379"/>
      <c r="G74" s="338" t="s">
        <v>632</v>
      </c>
      <c r="H74" s="338"/>
      <c r="I74" s="338"/>
      <c r="J74" s="103" t="s">
        <v>624</v>
      </c>
      <c r="K74" s="116">
        <f>K34</f>
        <v>98</v>
      </c>
      <c r="L74" s="383">
        <f t="shared" ref="L74:L103" si="3">ROUND(P74*R74*(U74/100),0)</f>
        <v>1247</v>
      </c>
      <c r="M74" s="383"/>
      <c r="N74" s="372">
        <f t="shared" si="2"/>
        <v>122206</v>
      </c>
      <c r="O74" s="372"/>
      <c r="P74" s="128">
        <f>'[1]日数 (2)'!L74</f>
        <v>27.3</v>
      </c>
      <c r="Q74" s="62" t="s">
        <v>633</v>
      </c>
      <c r="R74" s="129">
        <f>R73</f>
        <v>761</v>
      </c>
      <c r="S74" s="79" t="s">
        <v>634</v>
      </c>
      <c r="T74" s="62" t="s">
        <v>635</v>
      </c>
      <c r="U74" s="130">
        <f>IF('[1]基本 (2)'!D53&lt;10,6,6)</f>
        <v>6</v>
      </c>
      <c r="V74" s="60" t="s">
        <v>636</v>
      </c>
      <c r="W74" s="96"/>
      <c r="X74" s="122"/>
    </row>
    <row r="75" spans="2:24" ht="14.25" customHeight="1">
      <c r="B75" s="385"/>
      <c r="C75" s="385"/>
      <c r="D75" s="385"/>
      <c r="E75" s="385"/>
      <c r="F75" s="385"/>
      <c r="G75" s="338" t="s">
        <v>637</v>
      </c>
      <c r="H75" s="338"/>
      <c r="I75" s="338"/>
      <c r="J75" s="103" t="s">
        <v>624</v>
      </c>
      <c r="K75" s="116">
        <f>K34</f>
        <v>98</v>
      </c>
      <c r="L75" s="383">
        <f t="shared" si="3"/>
        <v>1247</v>
      </c>
      <c r="M75" s="383"/>
      <c r="N75" s="372">
        <f t="shared" si="2"/>
        <v>122206</v>
      </c>
      <c r="O75" s="372"/>
      <c r="P75" s="128">
        <f>'[1]日数 (2)'!L75</f>
        <v>27.3</v>
      </c>
      <c r="Q75" s="62" t="s">
        <v>633</v>
      </c>
      <c r="R75" s="129">
        <f>R73</f>
        <v>761</v>
      </c>
      <c r="S75" s="79" t="s">
        <v>634</v>
      </c>
      <c r="T75" s="62" t="s">
        <v>635</v>
      </c>
      <c r="U75" s="130">
        <f>IF('[1]基本 (2)'!D54&lt;10,6,6)</f>
        <v>6</v>
      </c>
      <c r="V75" s="60" t="s">
        <v>636</v>
      </c>
      <c r="W75" s="96"/>
      <c r="X75" s="122"/>
    </row>
    <row r="76" spans="2:24" ht="14.25" customHeight="1">
      <c r="B76" s="385"/>
      <c r="C76" s="385"/>
      <c r="D76" s="385"/>
      <c r="E76" s="385"/>
      <c r="F76" s="385"/>
      <c r="G76" s="338" t="s">
        <v>638</v>
      </c>
      <c r="H76" s="338"/>
      <c r="I76" s="338"/>
      <c r="J76" s="103" t="s">
        <v>624</v>
      </c>
      <c r="K76" s="116">
        <f>K34</f>
        <v>98</v>
      </c>
      <c r="L76" s="383">
        <f t="shared" si="3"/>
        <v>1379</v>
      </c>
      <c r="M76" s="383"/>
      <c r="N76" s="372">
        <f t="shared" si="2"/>
        <v>135142</v>
      </c>
      <c r="O76" s="372"/>
      <c r="P76" s="128">
        <f>'[1]日数 (2)'!L76</f>
        <v>30.2</v>
      </c>
      <c r="Q76" s="62" t="s">
        <v>633</v>
      </c>
      <c r="R76" s="129">
        <f>R73</f>
        <v>761</v>
      </c>
      <c r="S76" s="79" t="s">
        <v>634</v>
      </c>
      <c r="T76" s="62" t="s">
        <v>635</v>
      </c>
      <c r="U76" s="130">
        <f>IF('[1]基本 (2)'!D55&lt;10,6,6)</f>
        <v>6</v>
      </c>
      <c r="V76" s="60" t="s">
        <v>636</v>
      </c>
      <c r="W76" s="96"/>
      <c r="X76" s="122"/>
    </row>
    <row r="77" spans="2:24" ht="14.25" customHeight="1">
      <c r="B77" s="385"/>
      <c r="C77" s="385"/>
      <c r="D77" s="385"/>
      <c r="E77" s="385"/>
      <c r="F77" s="385"/>
      <c r="G77" s="338" t="s">
        <v>639</v>
      </c>
      <c r="H77" s="338"/>
      <c r="I77" s="338"/>
      <c r="J77" s="103" t="s">
        <v>624</v>
      </c>
      <c r="K77" s="116">
        <f>K34</f>
        <v>98</v>
      </c>
      <c r="L77" s="383">
        <f t="shared" si="3"/>
        <v>1379</v>
      </c>
      <c r="M77" s="383"/>
      <c r="N77" s="372">
        <f t="shared" si="2"/>
        <v>135142</v>
      </c>
      <c r="O77" s="372"/>
      <c r="P77" s="128">
        <f>'[1]日数 (2)'!L77</f>
        <v>30.2</v>
      </c>
      <c r="Q77" s="62" t="s">
        <v>633</v>
      </c>
      <c r="R77" s="129">
        <f>R73</f>
        <v>761</v>
      </c>
      <c r="S77" s="79" t="s">
        <v>634</v>
      </c>
      <c r="T77" s="62" t="s">
        <v>635</v>
      </c>
      <c r="U77" s="130">
        <f>IF('[1]基本 (2)'!D56&lt;10,6,6)</f>
        <v>6</v>
      </c>
      <c r="V77" s="60" t="s">
        <v>636</v>
      </c>
      <c r="W77" s="96"/>
      <c r="X77" s="122"/>
    </row>
    <row r="78" spans="2:24" ht="14.25" customHeight="1">
      <c r="B78" s="385"/>
      <c r="C78" s="385"/>
      <c r="D78" s="385"/>
      <c r="E78" s="385"/>
      <c r="F78" s="385"/>
      <c r="G78" s="338" t="s">
        <v>640</v>
      </c>
      <c r="H78" s="338"/>
      <c r="I78" s="338"/>
      <c r="J78" s="103" t="s">
        <v>624</v>
      </c>
      <c r="K78" s="116">
        <f>K34</f>
        <v>98</v>
      </c>
      <c r="L78" s="383">
        <f t="shared" si="3"/>
        <v>1685</v>
      </c>
      <c r="M78" s="383"/>
      <c r="N78" s="372">
        <f t="shared" si="2"/>
        <v>165130</v>
      </c>
      <c r="O78" s="372"/>
      <c r="P78" s="128">
        <f>'[1]日数 (2)'!L78</f>
        <v>36.9</v>
      </c>
      <c r="Q78" s="62" t="s">
        <v>633</v>
      </c>
      <c r="R78" s="129">
        <f>R73</f>
        <v>761</v>
      </c>
      <c r="S78" s="79" t="s">
        <v>634</v>
      </c>
      <c r="T78" s="62" t="s">
        <v>635</v>
      </c>
      <c r="U78" s="130">
        <f>IF('[1]基本 (2)'!D57&lt;10,6,6)</f>
        <v>6</v>
      </c>
      <c r="V78" s="60" t="s">
        <v>636</v>
      </c>
      <c r="W78" s="96"/>
      <c r="X78" s="122"/>
    </row>
    <row r="79" spans="2:24" ht="14.25" hidden="1" customHeight="1">
      <c r="B79" s="385"/>
      <c r="C79" s="385"/>
      <c r="D79" s="385"/>
      <c r="E79" s="385"/>
      <c r="F79" s="385"/>
      <c r="G79" s="338" t="s">
        <v>641</v>
      </c>
      <c r="H79" s="338"/>
      <c r="I79" s="338"/>
      <c r="J79" s="103" t="s">
        <v>624</v>
      </c>
      <c r="K79" s="116">
        <f>K34</f>
        <v>98</v>
      </c>
      <c r="L79" s="383">
        <f t="shared" si="3"/>
        <v>0</v>
      </c>
      <c r="M79" s="383"/>
      <c r="N79" s="372">
        <f t="shared" si="2"/>
        <v>0</v>
      </c>
      <c r="O79" s="372"/>
      <c r="P79" s="128"/>
      <c r="Q79" s="62" t="s">
        <v>633</v>
      </c>
      <c r="R79" s="129">
        <f>R73</f>
        <v>761</v>
      </c>
      <c r="S79" s="79" t="s">
        <v>634</v>
      </c>
      <c r="T79" s="62" t="s">
        <v>635</v>
      </c>
      <c r="U79" s="130"/>
      <c r="V79" s="60" t="s">
        <v>636</v>
      </c>
      <c r="W79" s="96"/>
      <c r="X79" s="122"/>
    </row>
    <row r="80" spans="2:24" ht="14.25" hidden="1" customHeight="1">
      <c r="B80" s="385"/>
      <c r="C80" s="385"/>
      <c r="D80" s="385"/>
      <c r="E80" s="385"/>
      <c r="F80" s="385"/>
      <c r="G80" s="338" t="s">
        <v>642</v>
      </c>
      <c r="H80" s="338"/>
      <c r="I80" s="338"/>
      <c r="J80" s="103" t="s">
        <v>624</v>
      </c>
      <c r="K80" s="116">
        <f>K34</f>
        <v>98</v>
      </c>
      <c r="L80" s="383">
        <f t="shared" si="3"/>
        <v>0</v>
      </c>
      <c r="M80" s="383"/>
      <c r="N80" s="372">
        <f t="shared" si="2"/>
        <v>0</v>
      </c>
      <c r="O80" s="372"/>
      <c r="P80" s="128"/>
      <c r="Q80" s="62" t="s">
        <v>633</v>
      </c>
      <c r="R80" s="129">
        <f>R73</f>
        <v>761</v>
      </c>
      <c r="S80" s="79" t="s">
        <v>634</v>
      </c>
      <c r="T80" s="62" t="s">
        <v>635</v>
      </c>
      <c r="U80" s="130"/>
      <c r="V80" s="60" t="s">
        <v>636</v>
      </c>
      <c r="W80" s="96"/>
      <c r="X80" s="122"/>
    </row>
    <row r="81" spans="2:24" ht="14.25" hidden="1" customHeight="1">
      <c r="B81" s="385"/>
      <c r="C81" s="385"/>
      <c r="D81" s="385"/>
      <c r="E81" s="385"/>
      <c r="F81" s="385"/>
      <c r="G81" s="338" t="s">
        <v>643</v>
      </c>
      <c r="H81" s="338"/>
      <c r="I81" s="338"/>
      <c r="J81" s="103" t="s">
        <v>624</v>
      </c>
      <c r="K81" s="116">
        <f>K34</f>
        <v>98</v>
      </c>
      <c r="L81" s="383">
        <f t="shared" si="3"/>
        <v>0</v>
      </c>
      <c r="M81" s="383"/>
      <c r="N81" s="372">
        <f t="shared" si="2"/>
        <v>0</v>
      </c>
      <c r="O81" s="372"/>
      <c r="P81" s="128"/>
      <c r="Q81" s="62" t="s">
        <v>633</v>
      </c>
      <c r="R81" s="129">
        <f>R73</f>
        <v>761</v>
      </c>
      <c r="S81" s="79" t="s">
        <v>634</v>
      </c>
      <c r="T81" s="62" t="s">
        <v>635</v>
      </c>
      <c r="U81" s="130"/>
      <c r="V81" s="60" t="s">
        <v>636</v>
      </c>
      <c r="W81" s="96"/>
      <c r="X81" s="122"/>
    </row>
    <row r="82" spans="2:24" ht="14.25" hidden="1" customHeight="1">
      <c r="B82" s="385"/>
      <c r="C82" s="385"/>
      <c r="D82" s="385"/>
      <c r="E82" s="385"/>
      <c r="F82" s="385"/>
      <c r="G82" s="338" t="s">
        <v>645</v>
      </c>
      <c r="H82" s="338"/>
      <c r="I82" s="338"/>
      <c r="J82" s="103" t="s">
        <v>624</v>
      </c>
      <c r="K82" s="116">
        <f>K34</f>
        <v>98</v>
      </c>
      <c r="L82" s="383">
        <f t="shared" si="3"/>
        <v>0</v>
      </c>
      <c r="M82" s="383"/>
      <c r="N82" s="372">
        <f t="shared" si="2"/>
        <v>0</v>
      </c>
      <c r="O82" s="372"/>
      <c r="P82" s="128"/>
      <c r="Q82" s="62" t="s">
        <v>633</v>
      </c>
      <c r="R82" s="129">
        <f>R73</f>
        <v>761</v>
      </c>
      <c r="S82" s="79" t="s">
        <v>634</v>
      </c>
      <c r="T82" s="62" t="s">
        <v>635</v>
      </c>
      <c r="U82" s="130"/>
      <c r="V82" s="60" t="s">
        <v>636</v>
      </c>
      <c r="W82" s="96"/>
      <c r="X82" s="122"/>
    </row>
    <row r="83" spans="2:24" ht="14.25" hidden="1" customHeight="1">
      <c r="B83" s="385"/>
      <c r="C83" s="385"/>
      <c r="D83" s="385"/>
      <c r="E83" s="385"/>
      <c r="F83" s="385"/>
      <c r="G83" s="338" t="s">
        <v>646</v>
      </c>
      <c r="H83" s="338"/>
      <c r="I83" s="338"/>
      <c r="J83" s="103" t="s">
        <v>624</v>
      </c>
      <c r="K83" s="116">
        <f>K34</f>
        <v>98</v>
      </c>
      <c r="L83" s="383">
        <f t="shared" si="3"/>
        <v>0</v>
      </c>
      <c r="M83" s="383"/>
      <c r="N83" s="372">
        <f t="shared" si="2"/>
        <v>0</v>
      </c>
      <c r="O83" s="372"/>
      <c r="P83" s="128"/>
      <c r="Q83" s="62" t="s">
        <v>633</v>
      </c>
      <c r="R83" s="129">
        <f>R73</f>
        <v>761</v>
      </c>
      <c r="S83" s="79" t="s">
        <v>634</v>
      </c>
      <c r="T83" s="62" t="s">
        <v>635</v>
      </c>
      <c r="U83" s="130"/>
      <c r="V83" s="60" t="s">
        <v>636</v>
      </c>
      <c r="W83" s="96"/>
      <c r="X83" s="122"/>
    </row>
    <row r="84" spans="2:24" ht="14.25" hidden="1" customHeight="1">
      <c r="B84" s="385"/>
      <c r="C84" s="385"/>
      <c r="D84" s="385"/>
      <c r="E84" s="385"/>
      <c r="F84" s="385"/>
      <c r="G84" s="338" t="s">
        <v>647</v>
      </c>
      <c r="H84" s="338"/>
      <c r="I84" s="338"/>
      <c r="J84" s="103" t="s">
        <v>624</v>
      </c>
      <c r="K84" s="116">
        <f>K34</f>
        <v>98</v>
      </c>
      <c r="L84" s="383">
        <f t="shared" si="3"/>
        <v>0</v>
      </c>
      <c r="M84" s="383"/>
      <c r="N84" s="372">
        <f t="shared" si="2"/>
        <v>0</v>
      </c>
      <c r="O84" s="372"/>
      <c r="P84" s="128"/>
      <c r="Q84" s="62" t="s">
        <v>633</v>
      </c>
      <c r="R84" s="129">
        <f>R73</f>
        <v>761</v>
      </c>
      <c r="S84" s="79" t="s">
        <v>634</v>
      </c>
      <c r="T84" s="62" t="s">
        <v>635</v>
      </c>
      <c r="U84" s="130"/>
      <c r="V84" s="60" t="s">
        <v>636</v>
      </c>
      <c r="W84" s="96"/>
      <c r="X84" s="122"/>
    </row>
    <row r="85" spans="2:24" ht="14.25" hidden="1" customHeight="1">
      <c r="B85" s="385"/>
      <c r="C85" s="385"/>
      <c r="D85" s="385"/>
      <c r="E85" s="385"/>
      <c r="F85" s="385"/>
      <c r="G85" s="338" t="s">
        <v>648</v>
      </c>
      <c r="H85" s="338"/>
      <c r="I85" s="338"/>
      <c r="J85" s="103" t="s">
        <v>624</v>
      </c>
      <c r="K85" s="116">
        <f>K34</f>
        <v>98</v>
      </c>
      <c r="L85" s="383">
        <f t="shared" si="3"/>
        <v>0</v>
      </c>
      <c r="M85" s="383"/>
      <c r="N85" s="372">
        <f t="shared" si="2"/>
        <v>0</v>
      </c>
      <c r="O85" s="372"/>
      <c r="P85" s="128"/>
      <c r="Q85" s="62" t="s">
        <v>633</v>
      </c>
      <c r="R85" s="129">
        <f>R73</f>
        <v>761</v>
      </c>
      <c r="S85" s="79" t="s">
        <v>634</v>
      </c>
      <c r="T85" s="62" t="s">
        <v>635</v>
      </c>
      <c r="U85" s="130"/>
      <c r="V85" s="60" t="s">
        <v>636</v>
      </c>
      <c r="W85" s="96"/>
      <c r="X85" s="122"/>
    </row>
    <row r="86" spans="2:24" ht="14.25" hidden="1" customHeight="1">
      <c r="B86" s="385"/>
      <c r="C86" s="385"/>
      <c r="D86" s="385"/>
      <c r="E86" s="385"/>
      <c r="F86" s="385"/>
      <c r="G86" s="338" t="s">
        <v>649</v>
      </c>
      <c r="H86" s="338"/>
      <c r="I86" s="338"/>
      <c r="J86" s="103" t="s">
        <v>624</v>
      </c>
      <c r="K86" s="116">
        <f>K34</f>
        <v>98</v>
      </c>
      <c r="L86" s="383">
        <f t="shared" si="3"/>
        <v>0</v>
      </c>
      <c r="M86" s="383"/>
      <c r="N86" s="372">
        <f t="shared" si="2"/>
        <v>0</v>
      </c>
      <c r="O86" s="372"/>
      <c r="P86" s="128"/>
      <c r="Q86" s="62" t="s">
        <v>633</v>
      </c>
      <c r="R86" s="129">
        <f>R73</f>
        <v>761</v>
      </c>
      <c r="S86" s="79" t="s">
        <v>634</v>
      </c>
      <c r="T86" s="62" t="s">
        <v>635</v>
      </c>
      <c r="U86" s="130"/>
      <c r="V86" s="60" t="s">
        <v>636</v>
      </c>
      <c r="W86" s="96"/>
      <c r="X86" s="122"/>
    </row>
    <row r="87" spans="2:24" ht="14.25" hidden="1" customHeight="1">
      <c r="B87" s="385"/>
      <c r="C87" s="385"/>
      <c r="D87" s="385"/>
      <c r="E87" s="385"/>
      <c r="F87" s="385"/>
      <c r="G87" s="338" t="s">
        <v>650</v>
      </c>
      <c r="H87" s="338"/>
      <c r="I87" s="338"/>
      <c r="J87" s="103" t="s">
        <v>624</v>
      </c>
      <c r="K87" s="116">
        <f>K34</f>
        <v>98</v>
      </c>
      <c r="L87" s="383">
        <f t="shared" si="3"/>
        <v>0</v>
      </c>
      <c r="M87" s="383"/>
      <c r="N87" s="372">
        <f t="shared" si="2"/>
        <v>0</v>
      </c>
      <c r="O87" s="372"/>
      <c r="P87" s="128"/>
      <c r="Q87" s="62" t="s">
        <v>633</v>
      </c>
      <c r="R87" s="129">
        <f>R73</f>
        <v>761</v>
      </c>
      <c r="S87" s="79" t="s">
        <v>634</v>
      </c>
      <c r="T87" s="62" t="s">
        <v>635</v>
      </c>
      <c r="U87" s="130"/>
      <c r="V87" s="60" t="s">
        <v>636</v>
      </c>
      <c r="W87" s="96"/>
      <c r="X87" s="122"/>
    </row>
    <row r="88" spans="2:24" ht="14.25" hidden="1" customHeight="1">
      <c r="B88" s="385"/>
      <c r="C88" s="385"/>
      <c r="D88" s="385"/>
      <c r="E88" s="385"/>
      <c r="F88" s="385"/>
      <c r="G88" s="338" t="s">
        <v>651</v>
      </c>
      <c r="H88" s="338"/>
      <c r="I88" s="338"/>
      <c r="J88" s="103" t="s">
        <v>624</v>
      </c>
      <c r="K88" s="116">
        <f>K34</f>
        <v>98</v>
      </c>
      <c r="L88" s="383">
        <f t="shared" si="3"/>
        <v>0</v>
      </c>
      <c r="M88" s="383"/>
      <c r="N88" s="372">
        <f t="shared" si="2"/>
        <v>0</v>
      </c>
      <c r="O88" s="372"/>
      <c r="P88" s="128"/>
      <c r="Q88" s="62" t="s">
        <v>633</v>
      </c>
      <c r="R88" s="129">
        <f>R73</f>
        <v>761</v>
      </c>
      <c r="S88" s="79" t="s">
        <v>634</v>
      </c>
      <c r="T88" s="62" t="s">
        <v>635</v>
      </c>
      <c r="U88" s="130"/>
      <c r="V88" s="60" t="s">
        <v>636</v>
      </c>
      <c r="W88" s="96"/>
      <c r="X88" s="122"/>
    </row>
    <row r="89" spans="2:24" ht="14.25" hidden="1" customHeight="1">
      <c r="B89" s="385"/>
      <c r="C89" s="385"/>
      <c r="D89" s="385"/>
      <c r="E89" s="385"/>
      <c r="F89" s="385"/>
      <c r="G89" s="338" t="s">
        <v>652</v>
      </c>
      <c r="H89" s="338"/>
      <c r="I89" s="338"/>
      <c r="J89" s="103" t="s">
        <v>624</v>
      </c>
      <c r="K89" s="116">
        <f>K34</f>
        <v>98</v>
      </c>
      <c r="L89" s="383">
        <f t="shared" si="3"/>
        <v>0</v>
      </c>
      <c r="M89" s="383"/>
      <c r="N89" s="372">
        <f t="shared" si="2"/>
        <v>0</v>
      </c>
      <c r="O89" s="372"/>
      <c r="P89" s="128"/>
      <c r="Q89" s="62" t="s">
        <v>633</v>
      </c>
      <c r="R89" s="129">
        <f>R73</f>
        <v>761</v>
      </c>
      <c r="S89" s="79" t="s">
        <v>634</v>
      </c>
      <c r="T89" s="62" t="s">
        <v>635</v>
      </c>
      <c r="U89" s="130"/>
      <c r="V89" s="60" t="s">
        <v>636</v>
      </c>
      <c r="W89" s="96"/>
      <c r="X89" s="122"/>
    </row>
    <row r="90" spans="2:24" ht="14.25" hidden="1" customHeight="1">
      <c r="B90" s="385"/>
      <c r="C90" s="385"/>
      <c r="D90" s="385"/>
      <c r="E90" s="385"/>
      <c r="F90" s="385"/>
      <c r="G90" s="338" t="s">
        <v>653</v>
      </c>
      <c r="H90" s="338"/>
      <c r="I90" s="338"/>
      <c r="J90" s="103" t="s">
        <v>624</v>
      </c>
      <c r="K90" s="116">
        <f>K34</f>
        <v>98</v>
      </c>
      <c r="L90" s="383">
        <f t="shared" si="3"/>
        <v>0</v>
      </c>
      <c r="M90" s="383"/>
      <c r="N90" s="372">
        <f t="shared" si="2"/>
        <v>0</v>
      </c>
      <c r="O90" s="372"/>
      <c r="P90" s="128"/>
      <c r="Q90" s="62" t="s">
        <v>633</v>
      </c>
      <c r="R90" s="129">
        <f>R73</f>
        <v>761</v>
      </c>
      <c r="S90" s="79" t="s">
        <v>634</v>
      </c>
      <c r="T90" s="62" t="s">
        <v>635</v>
      </c>
      <c r="U90" s="130"/>
      <c r="V90" s="60" t="s">
        <v>636</v>
      </c>
      <c r="W90" s="96"/>
      <c r="X90" s="122"/>
    </row>
    <row r="91" spans="2:24" ht="14.25" hidden="1" customHeight="1">
      <c r="B91" s="385"/>
      <c r="C91" s="385"/>
      <c r="D91" s="385"/>
      <c r="E91" s="385"/>
      <c r="F91" s="385"/>
      <c r="G91" s="338" t="s">
        <v>654</v>
      </c>
      <c r="H91" s="338"/>
      <c r="I91" s="338"/>
      <c r="J91" s="103" t="s">
        <v>624</v>
      </c>
      <c r="K91" s="116">
        <f>K34</f>
        <v>98</v>
      </c>
      <c r="L91" s="383">
        <f t="shared" si="3"/>
        <v>0</v>
      </c>
      <c r="M91" s="383"/>
      <c r="N91" s="372">
        <f t="shared" si="2"/>
        <v>0</v>
      </c>
      <c r="O91" s="372"/>
      <c r="P91" s="128"/>
      <c r="Q91" s="62" t="s">
        <v>633</v>
      </c>
      <c r="R91" s="129">
        <f>R73</f>
        <v>761</v>
      </c>
      <c r="S91" s="79" t="s">
        <v>634</v>
      </c>
      <c r="T91" s="62" t="s">
        <v>635</v>
      </c>
      <c r="U91" s="130"/>
      <c r="V91" s="60" t="s">
        <v>636</v>
      </c>
      <c r="W91" s="96"/>
      <c r="X91" s="122"/>
    </row>
    <row r="92" spans="2:24" ht="14.25" hidden="1" customHeight="1">
      <c r="B92" s="385"/>
      <c r="C92" s="385"/>
      <c r="D92" s="385"/>
      <c r="E92" s="385"/>
      <c r="F92" s="385"/>
      <c r="G92" s="338" t="s">
        <v>655</v>
      </c>
      <c r="H92" s="338"/>
      <c r="I92" s="338"/>
      <c r="J92" s="103" t="s">
        <v>624</v>
      </c>
      <c r="K92" s="116">
        <f>K34</f>
        <v>98</v>
      </c>
      <c r="L92" s="383">
        <f t="shared" si="3"/>
        <v>0</v>
      </c>
      <c r="M92" s="383"/>
      <c r="N92" s="372">
        <f t="shared" si="2"/>
        <v>0</v>
      </c>
      <c r="O92" s="372"/>
      <c r="P92" s="128"/>
      <c r="Q92" s="62" t="s">
        <v>633</v>
      </c>
      <c r="R92" s="129">
        <f>R73</f>
        <v>761</v>
      </c>
      <c r="S92" s="79" t="s">
        <v>634</v>
      </c>
      <c r="T92" s="62" t="s">
        <v>635</v>
      </c>
      <c r="U92" s="130"/>
      <c r="V92" s="60" t="s">
        <v>636</v>
      </c>
      <c r="W92" s="96"/>
      <c r="X92" s="122"/>
    </row>
    <row r="93" spans="2:24" ht="14.25" hidden="1" customHeight="1">
      <c r="B93" s="385"/>
      <c r="C93" s="385"/>
      <c r="D93" s="385"/>
      <c r="E93" s="385"/>
      <c r="F93" s="385"/>
      <c r="G93" s="338" t="s">
        <v>656</v>
      </c>
      <c r="H93" s="338"/>
      <c r="I93" s="338"/>
      <c r="J93" s="103" t="s">
        <v>624</v>
      </c>
      <c r="K93" s="116">
        <f>K34</f>
        <v>98</v>
      </c>
      <c r="L93" s="383">
        <f t="shared" si="3"/>
        <v>0</v>
      </c>
      <c r="M93" s="383"/>
      <c r="N93" s="372">
        <f t="shared" si="2"/>
        <v>0</v>
      </c>
      <c r="O93" s="372"/>
      <c r="P93" s="128"/>
      <c r="Q93" s="62" t="s">
        <v>633</v>
      </c>
      <c r="R93" s="129">
        <f>R73</f>
        <v>761</v>
      </c>
      <c r="S93" s="79" t="s">
        <v>634</v>
      </c>
      <c r="T93" s="62" t="s">
        <v>635</v>
      </c>
      <c r="U93" s="130"/>
      <c r="V93" s="60" t="s">
        <v>636</v>
      </c>
      <c r="W93" s="96"/>
      <c r="X93" s="122"/>
    </row>
    <row r="94" spans="2:24" ht="14.25" hidden="1" customHeight="1">
      <c r="B94" s="385"/>
      <c r="C94" s="385"/>
      <c r="D94" s="385"/>
      <c r="E94" s="385"/>
      <c r="F94" s="385"/>
      <c r="G94" s="338" t="s">
        <v>657</v>
      </c>
      <c r="H94" s="338"/>
      <c r="I94" s="338"/>
      <c r="J94" s="103" t="s">
        <v>624</v>
      </c>
      <c r="K94" s="116">
        <f>K34</f>
        <v>98</v>
      </c>
      <c r="L94" s="383">
        <f t="shared" si="3"/>
        <v>0</v>
      </c>
      <c r="M94" s="383"/>
      <c r="N94" s="372">
        <f t="shared" si="2"/>
        <v>0</v>
      </c>
      <c r="O94" s="372"/>
      <c r="P94" s="128"/>
      <c r="Q94" s="62" t="s">
        <v>633</v>
      </c>
      <c r="R94" s="129">
        <f>R73</f>
        <v>761</v>
      </c>
      <c r="S94" s="79" t="s">
        <v>634</v>
      </c>
      <c r="T94" s="62" t="s">
        <v>635</v>
      </c>
      <c r="U94" s="130"/>
      <c r="V94" s="60" t="s">
        <v>636</v>
      </c>
      <c r="W94" s="96"/>
      <c r="X94" s="122"/>
    </row>
    <row r="95" spans="2:24" ht="14.25" hidden="1" customHeight="1">
      <c r="B95" s="385"/>
      <c r="C95" s="385"/>
      <c r="D95" s="385"/>
      <c r="E95" s="385"/>
      <c r="F95" s="385"/>
      <c r="G95" s="338" t="s">
        <v>658</v>
      </c>
      <c r="H95" s="338"/>
      <c r="I95" s="338"/>
      <c r="J95" s="103" t="s">
        <v>624</v>
      </c>
      <c r="K95" s="116">
        <f>K34</f>
        <v>98</v>
      </c>
      <c r="L95" s="383">
        <f t="shared" si="3"/>
        <v>0</v>
      </c>
      <c r="M95" s="383"/>
      <c r="N95" s="372">
        <f t="shared" si="2"/>
        <v>0</v>
      </c>
      <c r="O95" s="372"/>
      <c r="P95" s="128"/>
      <c r="Q95" s="62" t="s">
        <v>633</v>
      </c>
      <c r="R95" s="129">
        <f>R73</f>
        <v>761</v>
      </c>
      <c r="S95" s="79" t="s">
        <v>634</v>
      </c>
      <c r="T95" s="62" t="s">
        <v>635</v>
      </c>
      <c r="U95" s="130"/>
      <c r="V95" s="60" t="s">
        <v>636</v>
      </c>
      <c r="W95" s="96"/>
      <c r="X95" s="122"/>
    </row>
    <row r="96" spans="2:24" ht="14.25" hidden="1" customHeight="1">
      <c r="B96" s="385"/>
      <c r="C96" s="385"/>
      <c r="D96" s="385"/>
      <c r="E96" s="385"/>
      <c r="F96" s="385"/>
      <c r="G96" s="338" t="s">
        <v>659</v>
      </c>
      <c r="H96" s="338"/>
      <c r="I96" s="338"/>
      <c r="J96" s="103" t="s">
        <v>624</v>
      </c>
      <c r="K96" s="116">
        <f>K34</f>
        <v>98</v>
      </c>
      <c r="L96" s="383">
        <f t="shared" si="3"/>
        <v>0</v>
      </c>
      <c r="M96" s="383"/>
      <c r="N96" s="372">
        <f t="shared" si="2"/>
        <v>0</v>
      </c>
      <c r="O96" s="372"/>
      <c r="P96" s="128"/>
      <c r="Q96" s="62" t="s">
        <v>633</v>
      </c>
      <c r="R96" s="129">
        <f>R73</f>
        <v>761</v>
      </c>
      <c r="S96" s="79" t="s">
        <v>634</v>
      </c>
      <c r="T96" s="62" t="s">
        <v>635</v>
      </c>
      <c r="U96" s="130"/>
      <c r="V96" s="60" t="s">
        <v>636</v>
      </c>
      <c r="W96" s="96"/>
      <c r="X96" s="122"/>
    </row>
    <row r="97" spans="2:24" ht="14.25" hidden="1" customHeight="1">
      <c r="B97" s="385"/>
      <c r="C97" s="385"/>
      <c r="D97" s="385"/>
      <c r="E97" s="385"/>
      <c r="F97" s="385"/>
      <c r="G97" s="338" t="s">
        <v>660</v>
      </c>
      <c r="H97" s="338"/>
      <c r="I97" s="338"/>
      <c r="J97" s="103" t="s">
        <v>624</v>
      </c>
      <c r="K97" s="116">
        <f>K34</f>
        <v>98</v>
      </c>
      <c r="L97" s="383">
        <f t="shared" si="3"/>
        <v>0</v>
      </c>
      <c r="M97" s="383"/>
      <c r="N97" s="372">
        <f t="shared" si="2"/>
        <v>0</v>
      </c>
      <c r="O97" s="372"/>
      <c r="P97" s="128"/>
      <c r="Q97" s="62" t="s">
        <v>633</v>
      </c>
      <c r="R97" s="129">
        <f>R73</f>
        <v>761</v>
      </c>
      <c r="S97" s="79" t="s">
        <v>634</v>
      </c>
      <c r="T97" s="62" t="s">
        <v>635</v>
      </c>
      <c r="U97" s="130"/>
      <c r="V97" s="60" t="s">
        <v>636</v>
      </c>
      <c r="W97" s="96"/>
      <c r="X97" s="122"/>
    </row>
    <row r="98" spans="2:24" ht="14.25" hidden="1" customHeight="1">
      <c r="B98" s="385"/>
      <c r="C98" s="385"/>
      <c r="D98" s="385"/>
      <c r="E98" s="385"/>
      <c r="F98" s="385"/>
      <c r="G98" s="338" t="s">
        <v>661</v>
      </c>
      <c r="H98" s="338"/>
      <c r="I98" s="338"/>
      <c r="J98" s="103" t="s">
        <v>624</v>
      </c>
      <c r="K98" s="116">
        <f>K34</f>
        <v>98</v>
      </c>
      <c r="L98" s="383">
        <f t="shared" si="3"/>
        <v>0</v>
      </c>
      <c r="M98" s="383"/>
      <c r="N98" s="372">
        <f t="shared" si="2"/>
        <v>0</v>
      </c>
      <c r="O98" s="372"/>
      <c r="P98" s="128"/>
      <c r="Q98" s="62" t="s">
        <v>633</v>
      </c>
      <c r="R98" s="129">
        <f>R73</f>
        <v>761</v>
      </c>
      <c r="S98" s="79" t="s">
        <v>634</v>
      </c>
      <c r="T98" s="62" t="s">
        <v>635</v>
      </c>
      <c r="U98" s="130"/>
      <c r="V98" s="60" t="s">
        <v>636</v>
      </c>
      <c r="W98" s="96"/>
      <c r="X98" s="122"/>
    </row>
    <row r="99" spans="2:24" ht="14.25" hidden="1" customHeight="1">
      <c r="B99" s="385"/>
      <c r="C99" s="385"/>
      <c r="D99" s="385"/>
      <c r="E99" s="385"/>
      <c r="F99" s="385"/>
      <c r="G99" s="338" t="s">
        <v>662</v>
      </c>
      <c r="H99" s="338"/>
      <c r="I99" s="338"/>
      <c r="J99" s="103" t="s">
        <v>624</v>
      </c>
      <c r="K99" s="116">
        <f>K34</f>
        <v>98</v>
      </c>
      <c r="L99" s="383">
        <f t="shared" si="3"/>
        <v>0</v>
      </c>
      <c r="M99" s="383"/>
      <c r="N99" s="372">
        <f t="shared" si="2"/>
        <v>0</v>
      </c>
      <c r="O99" s="372"/>
      <c r="P99" s="128"/>
      <c r="Q99" s="62" t="s">
        <v>633</v>
      </c>
      <c r="R99" s="129">
        <f>R73</f>
        <v>761</v>
      </c>
      <c r="S99" s="79" t="s">
        <v>634</v>
      </c>
      <c r="T99" s="62" t="s">
        <v>635</v>
      </c>
      <c r="U99" s="130"/>
      <c r="V99" s="60" t="s">
        <v>636</v>
      </c>
      <c r="W99" s="96"/>
      <c r="X99" s="122"/>
    </row>
    <row r="100" spans="2:24" ht="14.25" hidden="1" customHeight="1">
      <c r="B100" s="385"/>
      <c r="C100" s="385"/>
      <c r="D100" s="385"/>
      <c r="E100" s="385"/>
      <c r="F100" s="385"/>
      <c r="G100" s="338" t="s">
        <v>663</v>
      </c>
      <c r="H100" s="338"/>
      <c r="I100" s="338"/>
      <c r="J100" s="103" t="s">
        <v>624</v>
      </c>
      <c r="K100" s="116">
        <f>K34</f>
        <v>98</v>
      </c>
      <c r="L100" s="383">
        <f t="shared" si="3"/>
        <v>0</v>
      </c>
      <c r="M100" s="383"/>
      <c r="N100" s="372">
        <f t="shared" si="2"/>
        <v>0</v>
      </c>
      <c r="O100" s="372"/>
      <c r="P100" s="128"/>
      <c r="Q100" s="62" t="s">
        <v>633</v>
      </c>
      <c r="R100" s="129">
        <f>R73</f>
        <v>761</v>
      </c>
      <c r="S100" s="79" t="s">
        <v>634</v>
      </c>
      <c r="T100" s="62" t="s">
        <v>635</v>
      </c>
      <c r="U100" s="130"/>
      <c r="V100" s="60" t="s">
        <v>636</v>
      </c>
      <c r="W100" s="96"/>
      <c r="X100" s="122"/>
    </row>
    <row r="101" spans="2:24" ht="14.25" hidden="1" customHeight="1">
      <c r="B101" s="385"/>
      <c r="C101" s="385"/>
      <c r="D101" s="385"/>
      <c r="E101" s="385"/>
      <c r="F101" s="385"/>
      <c r="G101" s="338" t="s">
        <v>664</v>
      </c>
      <c r="H101" s="338"/>
      <c r="I101" s="338"/>
      <c r="J101" s="103" t="s">
        <v>624</v>
      </c>
      <c r="K101" s="116">
        <f>K34</f>
        <v>98</v>
      </c>
      <c r="L101" s="383">
        <f t="shared" si="3"/>
        <v>0</v>
      </c>
      <c r="M101" s="383"/>
      <c r="N101" s="372">
        <f t="shared" si="2"/>
        <v>0</v>
      </c>
      <c r="O101" s="372"/>
      <c r="P101" s="128"/>
      <c r="Q101" s="62" t="s">
        <v>633</v>
      </c>
      <c r="R101" s="129">
        <f>R73</f>
        <v>761</v>
      </c>
      <c r="S101" s="79" t="s">
        <v>634</v>
      </c>
      <c r="T101" s="62" t="s">
        <v>635</v>
      </c>
      <c r="U101" s="130"/>
      <c r="V101" s="60" t="s">
        <v>636</v>
      </c>
      <c r="W101" s="96"/>
      <c r="X101" s="122"/>
    </row>
    <row r="102" spans="2:24" ht="14.25" hidden="1" customHeight="1">
      <c r="B102" s="385"/>
      <c r="C102" s="385"/>
      <c r="D102" s="385"/>
      <c r="E102" s="385"/>
      <c r="F102" s="385"/>
      <c r="G102" s="338" t="s">
        <v>665</v>
      </c>
      <c r="H102" s="338"/>
      <c r="I102" s="338"/>
      <c r="J102" s="103" t="s">
        <v>624</v>
      </c>
      <c r="K102" s="116">
        <f>K34</f>
        <v>98</v>
      </c>
      <c r="L102" s="383">
        <f t="shared" si="3"/>
        <v>0</v>
      </c>
      <c r="M102" s="383"/>
      <c r="N102" s="372">
        <f t="shared" si="2"/>
        <v>0</v>
      </c>
      <c r="O102" s="372"/>
      <c r="P102" s="128"/>
      <c r="Q102" s="62" t="s">
        <v>633</v>
      </c>
      <c r="R102" s="129">
        <f>R73</f>
        <v>761</v>
      </c>
      <c r="S102" s="79" t="s">
        <v>634</v>
      </c>
      <c r="T102" s="62" t="s">
        <v>635</v>
      </c>
      <c r="U102" s="130"/>
      <c r="V102" s="60" t="s">
        <v>636</v>
      </c>
      <c r="W102" s="96"/>
      <c r="X102" s="122"/>
    </row>
    <row r="103" spans="2:24" ht="14.25" hidden="1" customHeight="1">
      <c r="B103" s="385"/>
      <c r="C103" s="385"/>
      <c r="D103" s="368"/>
      <c r="E103" s="368"/>
      <c r="F103" s="368"/>
      <c r="G103" s="338" t="s">
        <v>666</v>
      </c>
      <c r="H103" s="338"/>
      <c r="I103" s="338"/>
      <c r="J103" s="103" t="s">
        <v>624</v>
      </c>
      <c r="K103" s="116">
        <f>K34</f>
        <v>98</v>
      </c>
      <c r="L103" s="383">
        <f t="shared" si="3"/>
        <v>0</v>
      </c>
      <c r="M103" s="383"/>
      <c r="N103" s="372">
        <f t="shared" si="2"/>
        <v>0</v>
      </c>
      <c r="O103" s="372"/>
      <c r="P103" s="128"/>
      <c r="Q103" s="62" t="s">
        <v>633</v>
      </c>
      <c r="R103" s="129">
        <f>R73</f>
        <v>761</v>
      </c>
      <c r="S103" s="79" t="s">
        <v>634</v>
      </c>
      <c r="T103" s="62" t="s">
        <v>635</v>
      </c>
      <c r="U103" s="130"/>
      <c r="V103" s="60" t="s">
        <v>636</v>
      </c>
      <c r="W103" s="96"/>
      <c r="X103" s="122"/>
    </row>
    <row r="104" spans="2:24" ht="14.25" customHeight="1">
      <c r="B104" s="385"/>
      <c r="C104" s="385"/>
      <c r="D104" s="386" t="s">
        <v>627</v>
      </c>
      <c r="E104" s="387"/>
      <c r="F104" s="387"/>
      <c r="G104" s="430" t="str">
        <f>IF('[1]クレーン (2)'!D80&lt;=100,"ラフテレーンクレーン","トラッククレーン")</f>
        <v>ラフテレーンクレーン</v>
      </c>
      <c r="H104" s="389"/>
      <c r="I104" s="390"/>
      <c r="J104" s="123" t="s">
        <v>624</v>
      </c>
      <c r="K104" s="124">
        <f>ROUND(R70,0)</f>
        <v>21</v>
      </c>
      <c r="L104" s="391">
        <f>VLOOKUP("全国平均",[1]クレーン単価!A1:N57,RANK('[1]クレーン (2)'!D80,[1]クレーン単価!B1:N1,1)+1,FALSE)</f>
        <v>53200</v>
      </c>
      <c r="M104" s="391"/>
      <c r="N104" s="392">
        <f t="shared" si="2"/>
        <v>1117200</v>
      </c>
      <c r="O104" s="392"/>
      <c r="P104" s="96"/>
      <c r="Q104" s="96"/>
      <c r="R104" s="96"/>
      <c r="S104" s="96"/>
      <c r="T104" s="96"/>
      <c r="U104" s="96"/>
      <c r="V104" s="96"/>
      <c r="W104" s="96"/>
      <c r="X104" s="122"/>
    </row>
    <row r="105" spans="2:24" ht="14.25" customHeight="1">
      <c r="B105" s="385"/>
      <c r="C105" s="385"/>
      <c r="D105" s="368"/>
      <c r="E105" s="368"/>
      <c r="F105" s="368"/>
      <c r="G105" s="394" t="str">
        <f>'[1]クレーン (2)'!D80&amp;"ｔ吊り"</f>
        <v>25ｔ吊り</v>
      </c>
      <c r="H105" s="394"/>
      <c r="I105" s="394"/>
      <c r="J105" s="125"/>
      <c r="K105" s="126"/>
      <c r="L105" s="395"/>
      <c r="M105" s="395"/>
      <c r="N105" s="396"/>
      <c r="O105" s="396"/>
      <c r="P105" s="96"/>
      <c r="Q105" s="96"/>
      <c r="R105" s="96"/>
      <c r="S105" s="96"/>
      <c r="T105" s="96"/>
      <c r="U105" s="96"/>
      <c r="V105" s="96"/>
      <c r="W105" s="96"/>
      <c r="X105" s="122"/>
    </row>
    <row r="106" spans="2:24" ht="14.25" customHeight="1">
      <c r="B106" s="385"/>
      <c r="C106" s="385"/>
      <c r="D106" s="369" t="s">
        <v>674</v>
      </c>
      <c r="E106" s="369"/>
      <c r="F106" s="369"/>
      <c r="G106" s="369"/>
      <c r="H106" s="369"/>
      <c r="I106" s="369"/>
      <c r="J106" s="103" t="s">
        <v>624</v>
      </c>
      <c r="K106" s="116">
        <f>T106</f>
        <v>36</v>
      </c>
      <c r="L106" s="376">
        <v>9830</v>
      </c>
      <c r="M106" s="376"/>
      <c r="N106" s="372">
        <f>L106*K106</f>
        <v>353880</v>
      </c>
      <c r="O106" s="372"/>
      <c r="P106" s="128">
        <f>R70</f>
        <v>21.4</v>
      </c>
      <c r="Q106" s="62" t="s">
        <v>635</v>
      </c>
      <c r="R106" s="138">
        <v>1.7</v>
      </c>
      <c r="S106" s="62" t="s">
        <v>671</v>
      </c>
      <c r="T106" s="130">
        <f>ROUND(P106*R106,0)</f>
        <v>36</v>
      </c>
      <c r="U106" s="60" t="s">
        <v>675</v>
      </c>
      <c r="V106" s="96"/>
      <c r="W106" s="96"/>
      <c r="X106" s="122"/>
    </row>
    <row r="107" spans="2:24" ht="14.25" customHeight="1">
      <c r="B107" s="368"/>
      <c r="C107" s="368"/>
      <c r="D107" s="369" t="s">
        <v>676</v>
      </c>
      <c r="E107" s="369"/>
      <c r="F107" s="369"/>
      <c r="G107" s="369" t="s">
        <v>677</v>
      </c>
      <c r="H107" s="369"/>
      <c r="I107" s="369"/>
      <c r="J107" s="103" t="s">
        <v>624</v>
      </c>
      <c r="K107" s="116">
        <f>T106</f>
        <v>36</v>
      </c>
      <c r="L107" s="376">
        <v>2300</v>
      </c>
      <c r="M107" s="376"/>
      <c r="N107" s="372">
        <f>L107*K107</f>
        <v>82800</v>
      </c>
      <c r="O107" s="372"/>
      <c r="P107" s="96"/>
      <c r="Q107" s="96"/>
      <c r="R107" s="96"/>
      <c r="S107" s="96"/>
      <c r="T107" s="96"/>
      <c r="U107" s="96"/>
      <c r="V107" s="96"/>
      <c r="W107" s="96"/>
      <c r="X107" s="122"/>
    </row>
    <row r="108" spans="2:24" ht="14.25" customHeight="1">
      <c r="B108" s="369" t="s">
        <v>678</v>
      </c>
      <c r="C108" s="369"/>
      <c r="D108" s="369"/>
      <c r="E108" s="369"/>
      <c r="F108" s="369"/>
      <c r="G108" s="369"/>
      <c r="H108" s="369"/>
      <c r="I108" s="369"/>
      <c r="J108" s="103" t="s">
        <v>235</v>
      </c>
      <c r="K108" s="127">
        <v>1</v>
      </c>
      <c r="L108" s="382"/>
      <c r="M108" s="382"/>
      <c r="N108" s="372">
        <f>(N70+N71+N72)*(R108/100)</f>
        <v>38169.040000000001</v>
      </c>
      <c r="O108" s="372"/>
      <c r="P108" s="60" t="s">
        <v>679</v>
      </c>
      <c r="Q108" s="62" t="s">
        <v>635</v>
      </c>
      <c r="R108" s="138">
        <v>1</v>
      </c>
      <c r="S108" s="96" t="s">
        <v>680</v>
      </c>
      <c r="T108" s="96"/>
      <c r="U108" s="96"/>
      <c r="V108" s="96"/>
      <c r="W108" s="96"/>
      <c r="X108" s="122"/>
    </row>
    <row r="109" spans="2:24" ht="14.25" customHeight="1">
      <c r="B109" s="369"/>
      <c r="C109" s="369"/>
      <c r="D109" s="369" t="s">
        <v>237</v>
      </c>
      <c r="E109" s="369"/>
      <c r="F109" s="369"/>
      <c r="G109" s="369"/>
      <c r="H109" s="369"/>
      <c r="I109" s="369"/>
      <c r="J109" s="107"/>
      <c r="K109" s="104">
        <f>'[1]日数 (2)'!L104</f>
        <v>151.9</v>
      </c>
      <c r="L109" s="370">
        <f>INT(Cel工事_ベント設備工_金額計 / Cel工事_ベント設備工_数量計)</f>
        <v>114662</v>
      </c>
      <c r="M109" s="371"/>
      <c r="N109" s="372">
        <f>SUM(N70:O108)</f>
        <v>17417187.039999999</v>
      </c>
      <c r="O109" s="372"/>
      <c r="P109" s="135"/>
      <c r="Q109" s="135"/>
      <c r="R109" s="135"/>
      <c r="S109" s="135"/>
      <c r="T109" s="135"/>
      <c r="U109" s="135"/>
      <c r="V109" s="135"/>
      <c r="W109" s="135"/>
      <c r="X109" s="115"/>
    </row>
    <row r="110" spans="2:24" ht="14.25" customHeight="1"/>
    <row r="111" spans="2:24" ht="14.25" customHeight="1"/>
    <row r="112" spans="2:24" ht="14.25" customHeight="1">
      <c r="B112" s="99" t="s">
        <v>681</v>
      </c>
      <c r="V112" s="112"/>
    </row>
    <row r="113" spans="2:24" ht="14.25" customHeight="1">
      <c r="B113" s="369" t="s">
        <v>566</v>
      </c>
      <c r="C113" s="369"/>
      <c r="D113" s="338" t="s">
        <v>567</v>
      </c>
      <c r="E113" s="369"/>
      <c r="F113" s="369"/>
      <c r="G113" s="369" t="s">
        <v>611</v>
      </c>
      <c r="H113" s="369"/>
      <c r="I113" s="369"/>
      <c r="J113" s="103" t="s">
        <v>568</v>
      </c>
      <c r="K113" s="103" t="s">
        <v>569</v>
      </c>
      <c r="L113" s="369" t="s">
        <v>612</v>
      </c>
      <c r="M113" s="369"/>
      <c r="N113" s="369" t="s">
        <v>613</v>
      </c>
      <c r="O113" s="369"/>
      <c r="P113" s="425" t="s">
        <v>614</v>
      </c>
      <c r="Q113" s="369"/>
      <c r="R113" s="369"/>
      <c r="S113" s="369"/>
      <c r="T113" s="369"/>
      <c r="U113" s="369"/>
      <c r="V113" s="369"/>
      <c r="W113" s="369"/>
      <c r="X113" s="369"/>
    </row>
    <row r="114" spans="2:24" ht="14.25" customHeight="1">
      <c r="B114" s="379" t="s">
        <v>615</v>
      </c>
      <c r="C114" s="379"/>
      <c r="D114" s="369" t="s">
        <v>616</v>
      </c>
      <c r="E114" s="369"/>
      <c r="F114" s="369"/>
      <c r="G114" s="113" t="s">
        <v>617</v>
      </c>
      <c r="H114" s="114">
        <v>1</v>
      </c>
      <c r="I114" s="115" t="s">
        <v>618</v>
      </c>
      <c r="J114" s="103" t="s">
        <v>619</v>
      </c>
      <c r="K114" s="116">
        <f>H114*R114</f>
        <v>5.2</v>
      </c>
      <c r="L114" s="383">
        <f>L141</f>
        <v>33710</v>
      </c>
      <c r="M114" s="383"/>
      <c r="N114" s="372">
        <f>K114*L114</f>
        <v>175292</v>
      </c>
      <c r="O114" s="372"/>
      <c r="P114" s="384" t="s">
        <v>669</v>
      </c>
      <c r="Q114" s="384"/>
      <c r="R114" s="117">
        <f>'[1]日数 (2)'!D141</f>
        <v>5.2</v>
      </c>
      <c r="S114" s="118" t="s">
        <v>118</v>
      </c>
      <c r="T114" s="118"/>
      <c r="U114" s="118"/>
      <c r="V114" s="118"/>
      <c r="W114" s="118"/>
      <c r="X114" s="120"/>
    </row>
    <row r="115" spans="2:24" ht="14.25" customHeight="1">
      <c r="B115" s="385"/>
      <c r="C115" s="385"/>
      <c r="D115" s="369" t="s">
        <v>623</v>
      </c>
      <c r="E115" s="369"/>
      <c r="F115" s="369"/>
      <c r="G115" s="113" t="s">
        <v>617</v>
      </c>
      <c r="H115" s="114">
        <v>5</v>
      </c>
      <c r="I115" s="115" t="s">
        <v>618</v>
      </c>
      <c r="J115" s="103" t="s">
        <v>624</v>
      </c>
      <c r="K115" s="116">
        <f>H115*R114</f>
        <v>26</v>
      </c>
      <c r="L115" s="383">
        <f>L142</f>
        <v>28930</v>
      </c>
      <c r="M115" s="383"/>
      <c r="N115" s="372">
        <f>K115*L115</f>
        <v>752180</v>
      </c>
      <c r="O115" s="372"/>
      <c r="P115" s="96"/>
      <c r="Q115" s="96"/>
      <c r="R115" s="96"/>
      <c r="S115" s="96"/>
      <c r="T115" s="96"/>
      <c r="U115" s="96"/>
      <c r="V115" s="96"/>
      <c r="W115" s="96"/>
      <c r="X115" s="122"/>
    </row>
    <row r="116" spans="2:24" ht="14.25" customHeight="1">
      <c r="B116" s="368"/>
      <c r="C116" s="368"/>
      <c r="D116" s="369" t="s">
        <v>625</v>
      </c>
      <c r="E116" s="369"/>
      <c r="F116" s="369"/>
      <c r="G116" s="113" t="s">
        <v>617</v>
      </c>
      <c r="H116" s="114"/>
      <c r="I116" s="115" t="s">
        <v>618</v>
      </c>
      <c r="J116" s="103" t="s">
        <v>624</v>
      </c>
      <c r="K116" s="116">
        <f>H116*R114</f>
        <v>0</v>
      </c>
      <c r="L116" s="383">
        <f>L143</f>
        <v>18800</v>
      </c>
      <c r="M116" s="383"/>
      <c r="N116" s="372">
        <f>K116*L116</f>
        <v>0</v>
      </c>
      <c r="O116" s="372"/>
      <c r="P116" s="96"/>
      <c r="Q116" s="96"/>
      <c r="R116" s="96"/>
      <c r="S116" s="96"/>
      <c r="T116" s="96"/>
      <c r="U116" s="96"/>
      <c r="V116" s="96"/>
      <c r="W116" s="96"/>
      <c r="X116" s="122"/>
    </row>
    <row r="117" spans="2:24" ht="14.25" customHeight="1">
      <c r="B117" s="379" t="s">
        <v>626</v>
      </c>
      <c r="C117" s="379"/>
      <c r="D117" s="386" t="s">
        <v>627</v>
      </c>
      <c r="E117" s="387"/>
      <c r="F117" s="387"/>
      <c r="G117" s="430" t="str">
        <f>G144</f>
        <v>ラフテレーンクレーン</v>
      </c>
      <c r="H117" s="389"/>
      <c r="I117" s="390"/>
      <c r="J117" s="123" t="s">
        <v>118</v>
      </c>
      <c r="K117" s="124">
        <f>ROUND(R114,0)</f>
        <v>5</v>
      </c>
      <c r="L117" s="391">
        <f>VLOOKUP("全国平均",[1]クレーン単価!A1:N57,RANK('[1]クレーン (2)'!D40,[1]クレーン単価!B1:N1,1)+1,FALSE)</f>
        <v>201900</v>
      </c>
      <c r="M117" s="391"/>
      <c r="N117" s="392">
        <f>K117*L117</f>
        <v>1009500</v>
      </c>
      <c r="O117" s="392"/>
      <c r="P117" s="96"/>
      <c r="Q117" s="96"/>
      <c r="R117" s="96"/>
      <c r="S117" s="96"/>
      <c r="T117" s="96"/>
      <c r="U117" s="96"/>
      <c r="V117" s="96"/>
      <c r="W117" s="96"/>
      <c r="X117" s="122"/>
    </row>
    <row r="118" spans="2:24" ht="14.25" customHeight="1">
      <c r="B118" s="385"/>
      <c r="C118" s="385"/>
      <c r="D118" s="368"/>
      <c r="E118" s="368"/>
      <c r="F118" s="368"/>
      <c r="G118" s="394" t="str">
        <f>G145</f>
        <v>100ｔ吊り</v>
      </c>
      <c r="H118" s="394"/>
      <c r="I118" s="394"/>
      <c r="J118" s="125"/>
      <c r="K118" s="126"/>
      <c r="L118" s="395"/>
      <c r="M118" s="395"/>
      <c r="N118" s="396"/>
      <c r="O118" s="396"/>
      <c r="P118" s="96"/>
      <c r="Q118" s="96"/>
      <c r="R118" s="96"/>
      <c r="S118" s="96"/>
      <c r="T118" s="96"/>
      <c r="U118" s="96"/>
      <c r="V118" s="96"/>
      <c r="W118" s="96"/>
      <c r="X118" s="122"/>
    </row>
    <row r="119" spans="2:24" ht="14.25" customHeight="1">
      <c r="B119" s="385"/>
      <c r="C119" s="385"/>
      <c r="D119" s="369" t="s">
        <v>674</v>
      </c>
      <c r="E119" s="369"/>
      <c r="F119" s="369"/>
      <c r="G119" s="369"/>
      <c r="H119" s="369"/>
      <c r="I119" s="369"/>
      <c r="J119" s="103" t="s">
        <v>624</v>
      </c>
      <c r="K119" s="116">
        <f>T119</f>
        <v>9</v>
      </c>
      <c r="L119" s="376">
        <v>9830</v>
      </c>
      <c r="M119" s="376"/>
      <c r="N119" s="372">
        <f>K119*L119</f>
        <v>88470</v>
      </c>
      <c r="O119" s="372"/>
      <c r="P119" s="128">
        <f>R114</f>
        <v>5.2</v>
      </c>
      <c r="Q119" s="62" t="s">
        <v>635</v>
      </c>
      <c r="R119" s="138">
        <v>1.7</v>
      </c>
      <c r="S119" s="62" t="s">
        <v>671</v>
      </c>
      <c r="T119" s="130">
        <f>ROUND(P119*R119,0)</f>
        <v>9</v>
      </c>
      <c r="U119" s="60" t="s">
        <v>675</v>
      </c>
      <c r="V119" s="96"/>
      <c r="W119" s="96"/>
      <c r="X119" s="122"/>
    </row>
    <row r="120" spans="2:24" ht="14.25" customHeight="1">
      <c r="B120" s="368"/>
      <c r="C120" s="368"/>
      <c r="D120" s="369" t="s">
        <v>676</v>
      </c>
      <c r="E120" s="369"/>
      <c r="F120" s="369"/>
      <c r="G120" s="369" t="s">
        <v>682</v>
      </c>
      <c r="H120" s="369"/>
      <c r="I120" s="369"/>
      <c r="J120" s="103" t="s">
        <v>624</v>
      </c>
      <c r="K120" s="116">
        <f>T119</f>
        <v>9</v>
      </c>
      <c r="L120" s="376">
        <v>2300</v>
      </c>
      <c r="M120" s="376"/>
      <c r="N120" s="372">
        <f>K120*L120</f>
        <v>20700</v>
      </c>
      <c r="O120" s="372"/>
      <c r="P120" s="96"/>
      <c r="Q120" s="96"/>
      <c r="R120" s="96"/>
      <c r="S120" s="96"/>
      <c r="T120" s="96"/>
      <c r="U120" s="96"/>
      <c r="V120" s="96"/>
      <c r="W120" s="96"/>
      <c r="X120" s="122"/>
    </row>
    <row r="121" spans="2:24" ht="14.25" customHeight="1">
      <c r="B121" s="369" t="s">
        <v>678</v>
      </c>
      <c r="C121" s="369"/>
      <c r="D121" s="379"/>
      <c r="E121" s="379"/>
      <c r="F121" s="379"/>
      <c r="G121" s="379"/>
      <c r="H121" s="379"/>
      <c r="I121" s="379"/>
      <c r="J121" s="123" t="s">
        <v>235</v>
      </c>
      <c r="K121" s="139">
        <v>1</v>
      </c>
      <c r="L121" s="408"/>
      <c r="M121" s="408"/>
      <c r="N121" s="392">
        <f>(N114+N115+N116)*(R121/100)</f>
        <v>27824.16</v>
      </c>
      <c r="O121" s="392"/>
      <c r="P121" s="138" t="s">
        <v>615</v>
      </c>
      <c r="Q121" s="138" t="s">
        <v>17</v>
      </c>
      <c r="R121" s="138">
        <v>3</v>
      </c>
      <c r="S121" s="96" t="s">
        <v>680</v>
      </c>
      <c r="T121" s="96"/>
      <c r="U121" s="96"/>
      <c r="V121" s="96"/>
      <c r="W121" s="96"/>
      <c r="X121" s="122"/>
    </row>
    <row r="122" spans="2:24" ht="14.25" customHeight="1">
      <c r="B122" s="369"/>
      <c r="C122" s="369"/>
      <c r="D122" s="369" t="s">
        <v>237</v>
      </c>
      <c r="E122" s="369"/>
      <c r="F122" s="369"/>
      <c r="G122" s="369"/>
      <c r="H122" s="369"/>
      <c r="I122" s="369"/>
      <c r="J122" s="103"/>
      <c r="K122" s="104">
        <f>'[1]基本 (2)'!O20</f>
        <v>124.5</v>
      </c>
      <c r="L122" s="370">
        <f>INT(Cel工事_地組立工_金額計 / Cel工事_地組立工_数量計)</f>
        <v>16658</v>
      </c>
      <c r="M122" s="371"/>
      <c r="N122" s="372">
        <f>SUM(N114:O121)</f>
        <v>2073966.16</v>
      </c>
      <c r="O122" s="372"/>
      <c r="P122" s="135"/>
      <c r="Q122" s="135"/>
      <c r="R122" s="135"/>
      <c r="S122" s="135"/>
      <c r="T122" s="135"/>
      <c r="U122" s="135"/>
      <c r="V122" s="135"/>
      <c r="W122" s="135"/>
      <c r="X122" s="115"/>
    </row>
    <row r="123" spans="2:24" ht="14.25" customHeight="1"/>
    <row r="124" spans="2:24" ht="14.25" customHeight="1"/>
    <row r="125" spans="2:24" ht="14.25" hidden="1" customHeight="1">
      <c r="B125" s="99"/>
      <c r="V125" s="112"/>
    </row>
    <row r="126" spans="2:24" ht="14.25" hidden="1" customHeight="1">
      <c r="B126" s="369" t="s">
        <v>566</v>
      </c>
      <c r="C126" s="369"/>
      <c r="D126" s="338" t="s">
        <v>567</v>
      </c>
      <c r="E126" s="369"/>
      <c r="F126" s="369"/>
      <c r="G126" s="369" t="s">
        <v>611</v>
      </c>
      <c r="H126" s="369"/>
      <c r="I126" s="369"/>
      <c r="J126" s="103" t="s">
        <v>568</v>
      </c>
      <c r="K126" s="103" t="s">
        <v>569</v>
      </c>
      <c r="L126" s="369" t="s">
        <v>612</v>
      </c>
      <c r="M126" s="369"/>
      <c r="N126" s="369" t="s">
        <v>613</v>
      </c>
      <c r="O126" s="369"/>
      <c r="P126" s="425" t="s">
        <v>614</v>
      </c>
      <c r="Q126" s="369"/>
      <c r="R126" s="369"/>
      <c r="S126" s="369"/>
      <c r="T126" s="369"/>
      <c r="U126" s="369"/>
      <c r="V126" s="369"/>
      <c r="W126" s="369"/>
      <c r="X126" s="369"/>
    </row>
    <row r="127" spans="2:24" ht="14.25" hidden="1" customHeight="1">
      <c r="B127" s="379" t="s">
        <v>615</v>
      </c>
      <c r="C127" s="379"/>
      <c r="D127" s="369" t="s">
        <v>616</v>
      </c>
      <c r="E127" s="369"/>
      <c r="F127" s="369"/>
      <c r="G127" s="113" t="s">
        <v>617</v>
      </c>
      <c r="H127" s="114">
        <v>1</v>
      </c>
      <c r="I127" s="115" t="s">
        <v>618</v>
      </c>
      <c r="J127" s="103" t="s">
        <v>619</v>
      </c>
      <c r="K127" s="116">
        <f>H127*R127</f>
        <v>0</v>
      </c>
      <c r="L127" s="383">
        <f>L141</f>
        <v>33710</v>
      </c>
      <c r="M127" s="383"/>
      <c r="N127" s="372">
        <f>K127*L127</f>
        <v>0</v>
      </c>
      <c r="O127" s="372"/>
      <c r="P127" s="384" t="s">
        <v>669</v>
      </c>
      <c r="Q127" s="384"/>
      <c r="R127" s="117"/>
      <c r="S127" s="118" t="s">
        <v>118</v>
      </c>
      <c r="T127" s="118"/>
      <c r="U127" s="118"/>
      <c r="V127" s="118"/>
      <c r="W127" s="118"/>
      <c r="X127" s="120"/>
    </row>
    <row r="128" spans="2:24" ht="14.25" hidden="1" customHeight="1">
      <c r="B128" s="385"/>
      <c r="C128" s="385"/>
      <c r="D128" s="369" t="s">
        <v>623</v>
      </c>
      <c r="E128" s="369"/>
      <c r="F128" s="369"/>
      <c r="G128" s="113" t="s">
        <v>617</v>
      </c>
      <c r="H128" s="114">
        <v>5</v>
      </c>
      <c r="I128" s="115" t="s">
        <v>618</v>
      </c>
      <c r="J128" s="103" t="s">
        <v>624</v>
      </c>
      <c r="K128" s="116">
        <f>H128*R127</f>
        <v>0</v>
      </c>
      <c r="L128" s="383">
        <f>L142</f>
        <v>28930</v>
      </c>
      <c r="M128" s="383"/>
      <c r="N128" s="372">
        <f>K128*L128</f>
        <v>0</v>
      </c>
      <c r="O128" s="372"/>
      <c r="P128" s="96"/>
      <c r="Q128" s="96"/>
      <c r="R128" s="96"/>
      <c r="S128" s="96"/>
      <c r="T128" s="96"/>
      <c r="U128" s="96"/>
      <c r="V128" s="96"/>
      <c r="W128" s="96"/>
      <c r="X128" s="122"/>
    </row>
    <row r="129" spans="2:24" ht="14.25" hidden="1" customHeight="1">
      <c r="B129" s="368"/>
      <c r="C129" s="368"/>
      <c r="D129" s="369" t="s">
        <v>625</v>
      </c>
      <c r="E129" s="369"/>
      <c r="F129" s="369"/>
      <c r="G129" s="113" t="s">
        <v>617</v>
      </c>
      <c r="H129" s="114">
        <v>1</v>
      </c>
      <c r="I129" s="115" t="s">
        <v>618</v>
      </c>
      <c r="J129" s="103" t="s">
        <v>624</v>
      </c>
      <c r="K129" s="116">
        <f>H129*R127</f>
        <v>0</v>
      </c>
      <c r="L129" s="383">
        <f>L143</f>
        <v>18800</v>
      </c>
      <c r="M129" s="383"/>
      <c r="N129" s="372">
        <f>K129*L129</f>
        <v>0</v>
      </c>
      <c r="O129" s="372"/>
      <c r="P129" s="96"/>
      <c r="Q129" s="96"/>
      <c r="R129" s="96"/>
      <c r="S129" s="96"/>
      <c r="T129" s="96"/>
      <c r="U129" s="96"/>
      <c r="V129" s="96"/>
      <c r="W129" s="96"/>
      <c r="X129" s="122"/>
    </row>
    <row r="130" spans="2:24" ht="14.25" hidden="1" customHeight="1">
      <c r="B130" s="379" t="s">
        <v>626</v>
      </c>
      <c r="C130" s="379"/>
      <c r="D130" s="338" t="s">
        <v>683</v>
      </c>
      <c r="E130" s="369"/>
      <c r="F130" s="369"/>
      <c r="G130" s="379"/>
      <c r="H130" s="379"/>
      <c r="I130" s="379"/>
      <c r="J130" s="123" t="s">
        <v>118</v>
      </c>
      <c r="K130" s="124"/>
      <c r="L130" s="391">
        <f>U130</f>
        <v>0</v>
      </c>
      <c r="M130" s="391"/>
      <c r="N130" s="391">
        <f>K130*L130</f>
        <v>0</v>
      </c>
      <c r="O130" s="391"/>
      <c r="P130" s="128">
        <f>L161</f>
        <v>0</v>
      </c>
      <c r="Q130" s="62" t="s">
        <v>633</v>
      </c>
      <c r="R130" s="136">
        <v>589</v>
      </c>
      <c r="S130" s="79" t="s">
        <v>634</v>
      </c>
      <c r="T130" s="62" t="s">
        <v>684</v>
      </c>
      <c r="U130" s="137">
        <f>ROUND(P130*R130,0)</f>
        <v>0</v>
      </c>
      <c r="V130" s="60" t="s">
        <v>672</v>
      </c>
      <c r="W130" s="96"/>
      <c r="X130" s="122"/>
    </row>
    <row r="131" spans="2:24" ht="14.25" hidden="1" customHeight="1">
      <c r="B131" s="385"/>
      <c r="C131" s="385"/>
      <c r="D131" s="386" t="s">
        <v>685</v>
      </c>
      <c r="E131" s="387"/>
      <c r="F131" s="387"/>
      <c r="G131" s="430" t="str">
        <f>G104</f>
        <v>ラフテレーンクレーン</v>
      </c>
      <c r="H131" s="389"/>
      <c r="I131" s="390"/>
      <c r="J131" s="123" t="s">
        <v>624</v>
      </c>
      <c r="K131" s="124">
        <f>ROUND(R127,0)</f>
        <v>0</v>
      </c>
      <c r="L131" s="391"/>
      <c r="M131" s="391"/>
      <c r="N131" s="392">
        <f>K131*L131</f>
        <v>0</v>
      </c>
      <c r="O131" s="392"/>
      <c r="P131" s="96"/>
      <c r="Q131" s="96"/>
      <c r="R131" s="96"/>
      <c r="S131" s="96"/>
      <c r="T131" s="96"/>
      <c r="U131" s="96"/>
      <c r="V131" s="96"/>
      <c r="W131" s="96"/>
      <c r="X131" s="122"/>
    </row>
    <row r="132" spans="2:24" ht="14.25" hidden="1" customHeight="1">
      <c r="B132" s="385"/>
      <c r="C132" s="385"/>
      <c r="D132" s="368"/>
      <c r="E132" s="368"/>
      <c r="F132" s="368"/>
      <c r="G132" s="394" t="str">
        <f>G105</f>
        <v>25ｔ吊り</v>
      </c>
      <c r="H132" s="394"/>
      <c r="I132" s="394"/>
      <c r="J132" s="125"/>
      <c r="K132" s="126"/>
      <c r="L132" s="395"/>
      <c r="M132" s="395"/>
      <c r="N132" s="396"/>
      <c r="O132" s="396"/>
      <c r="P132" s="96"/>
      <c r="Q132" s="96"/>
      <c r="R132" s="96"/>
      <c r="S132" s="96"/>
      <c r="T132" s="96"/>
      <c r="U132" s="96"/>
      <c r="V132" s="96"/>
      <c r="W132" s="96"/>
      <c r="X132" s="122"/>
    </row>
    <row r="133" spans="2:24" ht="14.25" hidden="1" customHeight="1">
      <c r="B133" s="385"/>
      <c r="C133" s="385"/>
      <c r="D133" s="369" t="s">
        <v>674</v>
      </c>
      <c r="E133" s="369"/>
      <c r="F133" s="369"/>
      <c r="G133" s="369"/>
      <c r="H133" s="369"/>
      <c r="I133" s="369"/>
      <c r="J133" s="103" t="s">
        <v>624</v>
      </c>
      <c r="K133" s="116">
        <f>T133</f>
        <v>0</v>
      </c>
      <c r="L133" s="376">
        <v>9830</v>
      </c>
      <c r="M133" s="376"/>
      <c r="N133" s="372">
        <f>K133*L133</f>
        <v>0</v>
      </c>
      <c r="O133" s="372"/>
      <c r="P133" s="128">
        <f>R127</f>
        <v>0</v>
      </c>
      <c r="Q133" s="62" t="s">
        <v>686</v>
      </c>
      <c r="R133" s="138">
        <v>1.7</v>
      </c>
      <c r="S133" s="62" t="s">
        <v>684</v>
      </c>
      <c r="T133" s="130">
        <f>ROUND(P133*R133,0)</f>
        <v>0</v>
      </c>
      <c r="U133" s="60" t="s">
        <v>675</v>
      </c>
      <c r="V133" s="96"/>
      <c r="W133" s="96"/>
      <c r="X133" s="122"/>
    </row>
    <row r="134" spans="2:24" ht="14.25" hidden="1" customHeight="1">
      <c r="B134" s="368"/>
      <c r="C134" s="368"/>
      <c r="D134" s="369" t="s">
        <v>676</v>
      </c>
      <c r="E134" s="369"/>
      <c r="F134" s="369"/>
      <c r="G134" s="369" t="s">
        <v>682</v>
      </c>
      <c r="H134" s="369"/>
      <c r="I134" s="369"/>
      <c r="J134" s="103" t="s">
        <v>624</v>
      </c>
      <c r="K134" s="116">
        <f>T133</f>
        <v>0</v>
      </c>
      <c r="L134" s="376">
        <v>2300</v>
      </c>
      <c r="M134" s="376"/>
      <c r="N134" s="372">
        <f>K134*L134</f>
        <v>0</v>
      </c>
      <c r="O134" s="372"/>
      <c r="P134" s="96"/>
      <c r="Q134" s="96"/>
      <c r="R134" s="96"/>
      <c r="S134" s="96"/>
      <c r="T134" s="96"/>
      <c r="U134" s="96"/>
      <c r="V134" s="96"/>
      <c r="W134" s="96"/>
      <c r="X134" s="122"/>
    </row>
    <row r="135" spans="2:24" ht="14.25" hidden="1" customHeight="1">
      <c r="B135" s="369" t="s">
        <v>678</v>
      </c>
      <c r="C135" s="369"/>
      <c r="D135" s="379"/>
      <c r="E135" s="379"/>
      <c r="F135" s="379"/>
      <c r="G135" s="379"/>
      <c r="H135" s="379"/>
      <c r="I135" s="379"/>
      <c r="J135" s="123" t="s">
        <v>235</v>
      </c>
      <c r="K135" s="139">
        <v>1</v>
      </c>
      <c r="L135" s="408"/>
      <c r="M135" s="408"/>
      <c r="N135" s="392">
        <f>(N127+N128+N129)*(R135/100)</f>
        <v>0</v>
      </c>
      <c r="O135" s="392"/>
      <c r="P135" s="138" t="s">
        <v>615</v>
      </c>
      <c r="Q135" s="138" t="s">
        <v>17</v>
      </c>
      <c r="R135" s="138">
        <v>2</v>
      </c>
      <c r="S135" s="96" t="s">
        <v>680</v>
      </c>
      <c r="T135" s="96"/>
      <c r="U135" s="96"/>
      <c r="V135" s="96"/>
      <c r="W135" s="96"/>
      <c r="X135" s="122"/>
    </row>
    <row r="136" spans="2:24" ht="14.25" hidden="1" customHeight="1">
      <c r="B136" s="369"/>
      <c r="C136" s="369"/>
      <c r="D136" s="369" t="s">
        <v>237</v>
      </c>
      <c r="E136" s="369"/>
      <c r="F136" s="369"/>
      <c r="G136" s="369"/>
      <c r="H136" s="369"/>
      <c r="I136" s="369"/>
      <c r="J136" s="103"/>
      <c r="K136" s="104">
        <f>'[1]日数 (2)'!J156</f>
        <v>12.4</v>
      </c>
      <c r="L136" s="370">
        <f>INT(Cel工事_地組溶接架台設備工_金額計 / Cel工事_地組溶接架台設備工_数量計)</f>
        <v>0</v>
      </c>
      <c r="M136" s="371"/>
      <c r="N136" s="372">
        <f>SUM(N127:O135)</f>
        <v>0</v>
      </c>
      <c r="O136" s="372"/>
      <c r="P136" s="135"/>
      <c r="Q136" s="135"/>
      <c r="R136" s="135"/>
      <c r="S136" s="135"/>
      <c r="T136" s="135"/>
      <c r="U136" s="135"/>
      <c r="V136" s="135"/>
      <c r="W136" s="135"/>
      <c r="X136" s="115"/>
    </row>
    <row r="137" spans="2:24" ht="14.25" hidden="1" customHeight="1">
      <c r="B137" s="138"/>
      <c r="C137" s="138"/>
      <c r="D137" s="138"/>
      <c r="E137" s="138"/>
      <c r="F137" s="138"/>
      <c r="G137" s="138"/>
      <c r="H137" s="138"/>
      <c r="I137" s="138"/>
      <c r="J137" s="138"/>
      <c r="K137" s="140"/>
      <c r="L137" s="141"/>
      <c r="M137" s="141"/>
      <c r="N137" s="142"/>
      <c r="O137" s="142"/>
      <c r="P137" s="96"/>
      <c r="Q137" s="96"/>
      <c r="R137" s="96"/>
      <c r="S137" s="96"/>
      <c r="T137" s="96"/>
      <c r="U137" s="96"/>
      <c r="V137" s="96"/>
      <c r="W137" s="96"/>
      <c r="X137" s="96"/>
    </row>
    <row r="138" spans="2:24" ht="14.25" hidden="1" customHeight="1"/>
    <row r="139" spans="2:24" ht="14.25" customHeight="1">
      <c r="B139" s="99" t="s">
        <v>687</v>
      </c>
      <c r="V139" s="112"/>
    </row>
    <row r="140" spans="2:24" ht="14.25" customHeight="1">
      <c r="B140" s="369" t="s">
        <v>566</v>
      </c>
      <c r="C140" s="369"/>
      <c r="D140" s="338" t="s">
        <v>567</v>
      </c>
      <c r="E140" s="369"/>
      <c r="F140" s="369"/>
      <c r="G140" s="369" t="s">
        <v>611</v>
      </c>
      <c r="H140" s="369"/>
      <c r="I140" s="369"/>
      <c r="J140" s="103" t="s">
        <v>568</v>
      </c>
      <c r="K140" s="103" t="s">
        <v>569</v>
      </c>
      <c r="L140" s="369" t="s">
        <v>612</v>
      </c>
      <c r="M140" s="369"/>
      <c r="N140" s="369" t="s">
        <v>613</v>
      </c>
      <c r="O140" s="369"/>
      <c r="P140" s="369" t="s">
        <v>614</v>
      </c>
      <c r="Q140" s="369"/>
      <c r="R140" s="369"/>
      <c r="S140" s="369"/>
      <c r="T140" s="369"/>
      <c r="U140" s="369"/>
      <c r="V140" s="369"/>
      <c r="W140" s="369"/>
      <c r="X140" s="369"/>
    </row>
    <row r="141" spans="2:24" ht="14.25" customHeight="1">
      <c r="B141" s="379" t="s">
        <v>615</v>
      </c>
      <c r="C141" s="379"/>
      <c r="D141" s="369" t="s">
        <v>616</v>
      </c>
      <c r="E141" s="369"/>
      <c r="F141" s="369"/>
      <c r="G141" s="113" t="s">
        <v>617</v>
      </c>
      <c r="H141" s="114">
        <v>1</v>
      </c>
      <c r="I141" s="115" t="s">
        <v>618</v>
      </c>
      <c r="J141" s="103" t="s">
        <v>619</v>
      </c>
      <c r="K141" s="116">
        <f>H141*R141</f>
        <v>12.5</v>
      </c>
      <c r="L141" s="383">
        <f>VLOOKUP("全国平均",[1]労務単価!A1:D57,2,FALSE)</f>
        <v>33710</v>
      </c>
      <c r="M141" s="383"/>
      <c r="N141" s="372">
        <f>K141*L141</f>
        <v>421375</v>
      </c>
      <c r="O141" s="372"/>
      <c r="P141" s="384" t="s">
        <v>669</v>
      </c>
      <c r="Q141" s="384"/>
      <c r="R141" s="117">
        <f>'[1]日数 (2)'!D225</f>
        <v>12.5</v>
      </c>
      <c r="S141" s="118" t="s">
        <v>118</v>
      </c>
      <c r="T141" s="118"/>
      <c r="U141" s="118"/>
      <c r="V141" s="118"/>
      <c r="W141" s="118"/>
      <c r="X141" s="120"/>
    </row>
    <row r="142" spans="2:24" ht="14.25" customHeight="1">
      <c r="B142" s="385"/>
      <c r="C142" s="385"/>
      <c r="D142" s="369" t="s">
        <v>623</v>
      </c>
      <c r="E142" s="369"/>
      <c r="F142" s="369"/>
      <c r="G142" s="113" t="s">
        <v>617</v>
      </c>
      <c r="H142" s="114">
        <v>5</v>
      </c>
      <c r="I142" s="115" t="s">
        <v>618</v>
      </c>
      <c r="J142" s="103" t="s">
        <v>624</v>
      </c>
      <c r="K142" s="116">
        <f>H142*R141</f>
        <v>62.5</v>
      </c>
      <c r="L142" s="383">
        <f>VLOOKUP("全国平均",[1]労務単価!A1:D57,3,FALSE)</f>
        <v>28930</v>
      </c>
      <c r="M142" s="383"/>
      <c r="N142" s="372">
        <f>K142*L142</f>
        <v>1808125</v>
      </c>
      <c r="O142" s="372"/>
      <c r="P142" s="121"/>
      <c r="Q142" s="96"/>
      <c r="R142" s="96"/>
      <c r="S142" s="96"/>
      <c r="T142" s="96"/>
      <c r="U142" s="96"/>
      <c r="V142" s="96"/>
      <c r="W142" s="96"/>
      <c r="X142" s="122"/>
    </row>
    <row r="143" spans="2:24" ht="14.25" customHeight="1">
      <c r="B143" s="368"/>
      <c r="C143" s="368"/>
      <c r="D143" s="369" t="s">
        <v>625</v>
      </c>
      <c r="E143" s="369"/>
      <c r="F143" s="369"/>
      <c r="G143" s="113" t="s">
        <v>617</v>
      </c>
      <c r="H143" s="114"/>
      <c r="I143" s="115" t="s">
        <v>618</v>
      </c>
      <c r="J143" s="103" t="s">
        <v>624</v>
      </c>
      <c r="K143" s="116">
        <f>H143*R141</f>
        <v>0</v>
      </c>
      <c r="L143" s="383">
        <f>VLOOKUP("全国平均",[1]労務単価!A1:D57,4,FALSE)</f>
        <v>18800</v>
      </c>
      <c r="M143" s="383"/>
      <c r="N143" s="372">
        <f>K143*L143</f>
        <v>0</v>
      </c>
      <c r="O143" s="372"/>
      <c r="P143" s="121"/>
      <c r="Q143" s="96"/>
      <c r="R143" s="96"/>
      <c r="S143" s="96"/>
      <c r="T143" s="96"/>
      <c r="U143" s="96"/>
      <c r="V143" s="96"/>
      <c r="W143" s="96"/>
      <c r="X143" s="122"/>
    </row>
    <row r="144" spans="2:24" ht="14.25" customHeight="1">
      <c r="B144" s="379" t="s">
        <v>626</v>
      </c>
      <c r="C144" s="379"/>
      <c r="D144" s="386" t="s">
        <v>627</v>
      </c>
      <c r="E144" s="387"/>
      <c r="F144" s="387"/>
      <c r="G144" s="430" t="str">
        <f>IF('[1]クレーン (2)'!D40&lt;=100,"ラフテレーンクレーン","トラッククレーン")</f>
        <v>ラフテレーンクレーン</v>
      </c>
      <c r="H144" s="389"/>
      <c r="I144" s="390"/>
      <c r="J144" s="123" t="s">
        <v>118</v>
      </c>
      <c r="K144" s="124">
        <f>ROUND(R141,0)</f>
        <v>13</v>
      </c>
      <c r="L144" s="391">
        <f>VLOOKUP("全国平均",[1]クレーン単価!A1:N57,RANK('[1]クレーン (2)'!D40,[1]クレーン単価!B1:N1,1)+1,FALSE)</f>
        <v>201900</v>
      </c>
      <c r="M144" s="391"/>
      <c r="N144" s="392">
        <f>K144*L144</f>
        <v>2624700</v>
      </c>
      <c r="O144" s="392"/>
      <c r="P144" s="121"/>
      <c r="Q144" s="96"/>
      <c r="R144" s="96"/>
      <c r="S144" s="96"/>
      <c r="T144" s="96"/>
      <c r="U144" s="96"/>
      <c r="V144" s="96"/>
      <c r="W144" s="96"/>
      <c r="X144" s="122"/>
    </row>
    <row r="145" spans="2:24" ht="14.25" customHeight="1">
      <c r="B145" s="385"/>
      <c r="C145" s="385"/>
      <c r="D145" s="368"/>
      <c r="E145" s="368"/>
      <c r="F145" s="368"/>
      <c r="G145" s="394" t="str">
        <f>'[1]クレーン (2)'!D40&amp;"ｔ吊り"</f>
        <v>100ｔ吊り</v>
      </c>
      <c r="H145" s="394"/>
      <c r="I145" s="394"/>
      <c r="J145" s="125"/>
      <c r="K145" s="126"/>
      <c r="L145" s="395"/>
      <c r="M145" s="395"/>
      <c r="N145" s="396"/>
      <c r="O145" s="396"/>
      <c r="P145" s="121"/>
      <c r="Q145" s="96"/>
      <c r="R145" s="96"/>
      <c r="S145" s="96"/>
      <c r="T145" s="96"/>
      <c r="U145" s="96"/>
      <c r="V145" s="96"/>
      <c r="W145" s="96"/>
      <c r="X145" s="122"/>
    </row>
    <row r="146" spans="2:24" ht="14.25" customHeight="1">
      <c r="B146" s="385"/>
      <c r="C146" s="385"/>
      <c r="D146" s="369" t="s">
        <v>674</v>
      </c>
      <c r="E146" s="369"/>
      <c r="F146" s="369"/>
      <c r="G146" s="369"/>
      <c r="H146" s="369"/>
      <c r="I146" s="369"/>
      <c r="J146" s="103" t="s">
        <v>624</v>
      </c>
      <c r="K146" s="116">
        <f>T146</f>
        <v>21</v>
      </c>
      <c r="L146" s="376">
        <v>9830</v>
      </c>
      <c r="M146" s="376"/>
      <c r="N146" s="372">
        <f>K146*L146</f>
        <v>206430</v>
      </c>
      <c r="O146" s="372"/>
      <c r="P146" s="128">
        <f>R141</f>
        <v>12.5</v>
      </c>
      <c r="Q146" s="62" t="s">
        <v>635</v>
      </c>
      <c r="R146" s="138">
        <v>1.7</v>
      </c>
      <c r="S146" s="62" t="s">
        <v>671</v>
      </c>
      <c r="T146" s="130">
        <f>ROUND(P146*R146,0)</f>
        <v>21</v>
      </c>
      <c r="U146" s="60" t="s">
        <v>675</v>
      </c>
      <c r="V146" s="96"/>
      <c r="W146" s="96"/>
      <c r="X146" s="122"/>
    </row>
    <row r="147" spans="2:24" ht="14.25" customHeight="1">
      <c r="B147" s="385"/>
      <c r="C147" s="385"/>
      <c r="D147" s="369" t="s">
        <v>676</v>
      </c>
      <c r="E147" s="369"/>
      <c r="F147" s="369"/>
      <c r="G147" s="369" t="s">
        <v>677</v>
      </c>
      <c r="H147" s="369"/>
      <c r="I147" s="369"/>
      <c r="J147" s="103" t="s">
        <v>624</v>
      </c>
      <c r="K147" s="116">
        <f>T146</f>
        <v>21</v>
      </c>
      <c r="L147" s="376">
        <v>2300</v>
      </c>
      <c r="M147" s="376"/>
      <c r="N147" s="372">
        <f>K147*L147</f>
        <v>48300</v>
      </c>
      <c r="O147" s="372"/>
      <c r="P147" s="121"/>
      <c r="Q147" s="96"/>
      <c r="R147" s="96"/>
      <c r="S147" s="96"/>
      <c r="T147" s="96"/>
      <c r="U147" s="96"/>
      <c r="V147" s="96"/>
      <c r="W147" s="96"/>
      <c r="X147" s="122"/>
    </row>
    <row r="148" spans="2:24" ht="14.25" customHeight="1">
      <c r="B148" s="385"/>
      <c r="C148" s="385"/>
      <c r="D148" s="369" t="s">
        <v>688</v>
      </c>
      <c r="E148" s="369"/>
      <c r="F148" s="369"/>
      <c r="G148" s="369"/>
      <c r="H148" s="369"/>
      <c r="I148" s="369"/>
      <c r="J148" s="103" t="s">
        <v>624</v>
      </c>
      <c r="K148" s="116">
        <f>'[1]基本 (2)'!D139</f>
        <v>57</v>
      </c>
      <c r="L148" s="383">
        <f>O154</f>
        <v>1649</v>
      </c>
      <c r="M148" s="383"/>
      <c r="N148" s="372">
        <f>K148*L148</f>
        <v>93993</v>
      </c>
      <c r="O148" s="372"/>
      <c r="P148" s="143" t="s">
        <v>689</v>
      </c>
      <c r="Q148" s="96"/>
      <c r="R148" s="96"/>
      <c r="S148" s="96"/>
      <c r="T148" s="96"/>
      <c r="U148" s="96"/>
      <c r="V148" s="96"/>
      <c r="W148" s="96"/>
      <c r="X148" s="122"/>
    </row>
    <row r="149" spans="2:24" ht="14.25" customHeight="1">
      <c r="B149" s="368"/>
      <c r="C149" s="368"/>
      <c r="D149" s="369" t="s">
        <v>690</v>
      </c>
      <c r="E149" s="369"/>
      <c r="F149" s="369"/>
      <c r="G149" s="369"/>
      <c r="H149" s="369"/>
      <c r="I149" s="369"/>
      <c r="J149" s="103" t="s">
        <v>624</v>
      </c>
      <c r="K149" s="116">
        <f>K148</f>
        <v>57</v>
      </c>
      <c r="L149" s="383">
        <f>O157</f>
        <v>1439</v>
      </c>
      <c r="M149" s="383"/>
      <c r="N149" s="372">
        <f>K149*L149</f>
        <v>82023</v>
      </c>
      <c r="O149" s="372"/>
      <c r="P149" s="143" t="s">
        <v>689</v>
      </c>
      <c r="Q149" s="96"/>
      <c r="R149" s="96"/>
      <c r="S149" s="96"/>
      <c r="T149" s="96"/>
      <c r="U149" s="96"/>
      <c r="V149" s="96"/>
      <c r="W149" s="96"/>
      <c r="X149" s="122"/>
    </row>
    <row r="150" spans="2:24" ht="14.25" customHeight="1">
      <c r="B150" s="379" t="s">
        <v>678</v>
      </c>
      <c r="C150" s="379"/>
      <c r="D150" s="379"/>
      <c r="E150" s="379"/>
      <c r="F150" s="379"/>
      <c r="G150" s="379"/>
      <c r="H150" s="379"/>
      <c r="I150" s="379"/>
      <c r="J150" s="123" t="s">
        <v>235</v>
      </c>
      <c r="K150" s="139">
        <v>1</v>
      </c>
      <c r="L150" s="408"/>
      <c r="M150" s="408"/>
      <c r="N150" s="392">
        <f>(N141+N142+N143)*(R150/100)</f>
        <v>245245</v>
      </c>
      <c r="O150" s="392"/>
      <c r="P150" s="138" t="s">
        <v>615</v>
      </c>
      <c r="Q150" s="138" t="s">
        <v>17</v>
      </c>
      <c r="R150" s="138">
        <v>11</v>
      </c>
      <c r="S150" s="96" t="s">
        <v>680</v>
      </c>
      <c r="T150" s="96"/>
      <c r="U150" s="96"/>
      <c r="V150" s="96"/>
      <c r="W150" s="96"/>
      <c r="X150" s="122"/>
    </row>
    <row r="151" spans="2:24" ht="14.25" customHeight="1">
      <c r="B151" s="424"/>
      <c r="C151" s="425"/>
      <c r="D151" s="369" t="s">
        <v>237</v>
      </c>
      <c r="E151" s="369"/>
      <c r="F151" s="369"/>
      <c r="G151" s="369"/>
      <c r="H151" s="369"/>
      <c r="I151" s="369"/>
      <c r="J151" s="103"/>
      <c r="K151" s="104">
        <f>'[1]基本 (2)'!O35</f>
        <v>290.7</v>
      </c>
      <c r="L151" s="370">
        <f>INT(Cel工事_桁架設工_金額計 / Cel工事_桁架設工_数量計)</f>
        <v>19023</v>
      </c>
      <c r="M151" s="371"/>
      <c r="N151" s="372">
        <f>SUM(N141:O150)</f>
        <v>5530191</v>
      </c>
      <c r="O151" s="372"/>
      <c r="P151" s="134"/>
      <c r="Q151" s="135"/>
      <c r="R151" s="135"/>
      <c r="S151" s="135"/>
      <c r="T151" s="135"/>
      <c r="U151" s="135"/>
      <c r="V151" s="135"/>
      <c r="W151" s="135"/>
      <c r="X151" s="115"/>
    </row>
    <row r="152" spans="2:24" ht="14.25" customHeight="1"/>
    <row r="153" spans="2:24" ht="14.25" customHeight="1">
      <c r="C153" s="105" t="s">
        <v>691</v>
      </c>
    </row>
    <row r="154" spans="2:24" ht="14.25" customHeight="1">
      <c r="C154" s="144">
        <v>110</v>
      </c>
      <c r="D154" s="145" t="s">
        <v>692</v>
      </c>
      <c r="E154" s="102">
        <v>100</v>
      </c>
      <c r="F154" s="145" t="s">
        <v>693</v>
      </c>
      <c r="G154" s="145" t="s">
        <v>635</v>
      </c>
      <c r="H154" s="146">
        <f>'[1]基本 (2)'!I40</f>
        <v>13490</v>
      </c>
      <c r="I154" s="145" t="s">
        <v>694</v>
      </c>
      <c r="J154" s="145" t="s">
        <v>635</v>
      </c>
      <c r="K154" s="147" t="s">
        <v>695</v>
      </c>
      <c r="L154" s="145" t="s">
        <v>686</v>
      </c>
      <c r="M154" s="147" t="s">
        <v>696</v>
      </c>
      <c r="N154" s="145" t="s">
        <v>697</v>
      </c>
      <c r="O154" s="148">
        <f>ROUND(C154/100*H154*(1/3)*(1/3),0)</f>
        <v>1649</v>
      </c>
      <c r="P154" s="105" t="s">
        <v>672</v>
      </c>
      <c r="Q154" s="102"/>
    </row>
    <row r="155" spans="2:24" ht="14.25" customHeight="1"/>
    <row r="156" spans="2:24" ht="14.25" customHeight="1">
      <c r="C156" s="105" t="s">
        <v>698</v>
      </c>
    </row>
    <row r="157" spans="2:24" ht="14.25" customHeight="1">
      <c r="C157" s="144">
        <v>48</v>
      </c>
      <c r="D157" s="145" t="s">
        <v>692</v>
      </c>
      <c r="E157" s="102">
        <v>100</v>
      </c>
      <c r="F157" s="145" t="s">
        <v>693</v>
      </c>
      <c r="G157" s="145" t="s">
        <v>699</v>
      </c>
      <c r="H157" s="146">
        <f>H154</f>
        <v>13490</v>
      </c>
      <c r="I157" s="145" t="s">
        <v>694</v>
      </c>
      <c r="J157" s="145" t="s">
        <v>699</v>
      </c>
      <c r="K157" s="147" t="s">
        <v>696</v>
      </c>
      <c r="L157" s="145" t="s">
        <v>635</v>
      </c>
      <c r="M157" s="147" t="s">
        <v>700</v>
      </c>
      <c r="N157" s="145" t="s">
        <v>671</v>
      </c>
      <c r="O157" s="148">
        <f>ROUND(C157/100*H157*(1/3)*(2/3),0)</f>
        <v>1439</v>
      </c>
      <c r="P157" s="105" t="s">
        <v>672</v>
      </c>
      <c r="Q157" s="102"/>
    </row>
    <row r="158" spans="2:24" ht="14.25" customHeight="1"/>
    <row r="159" spans="2:24" ht="14.25" customHeight="1"/>
    <row r="160" spans="2:24" ht="14.25" customHeight="1">
      <c r="B160" s="99"/>
      <c r="V160" s="112"/>
    </row>
    <row r="161" spans="2:24" ht="14.25" customHeight="1">
      <c r="B161" s="99" t="s">
        <v>701</v>
      </c>
      <c r="L161" s="132"/>
      <c r="V161" s="112"/>
    </row>
    <row r="162" spans="2:24" ht="14.25" customHeight="1">
      <c r="B162" s="369" t="s">
        <v>566</v>
      </c>
      <c r="C162" s="369"/>
      <c r="D162" s="338" t="s">
        <v>567</v>
      </c>
      <c r="E162" s="369"/>
      <c r="F162" s="369"/>
      <c r="G162" s="369" t="s">
        <v>611</v>
      </c>
      <c r="H162" s="369"/>
      <c r="I162" s="369"/>
      <c r="J162" s="103" t="s">
        <v>568</v>
      </c>
      <c r="K162" s="103" t="s">
        <v>569</v>
      </c>
      <c r="L162" s="368" t="s">
        <v>612</v>
      </c>
      <c r="M162" s="369"/>
      <c r="N162" s="369" t="s">
        <v>613</v>
      </c>
      <c r="O162" s="369"/>
      <c r="P162" s="369" t="s">
        <v>614</v>
      </c>
      <c r="Q162" s="369"/>
      <c r="R162" s="369"/>
      <c r="S162" s="369"/>
      <c r="T162" s="369"/>
      <c r="U162" s="369"/>
      <c r="V162" s="369"/>
      <c r="W162" s="369"/>
      <c r="X162" s="369"/>
    </row>
    <row r="163" spans="2:24" ht="14.25" customHeight="1">
      <c r="B163" s="379" t="s">
        <v>702</v>
      </c>
      <c r="C163" s="379"/>
      <c r="D163" s="369" t="s">
        <v>703</v>
      </c>
      <c r="E163" s="369"/>
      <c r="F163" s="369"/>
      <c r="G163" s="424"/>
      <c r="H163" s="413"/>
      <c r="I163" s="425"/>
      <c r="J163" s="103" t="s">
        <v>619</v>
      </c>
      <c r="K163" s="149">
        <f>IF('[1]クレーン (2)'!D40&lt;=120,4.3,IF('[1]クレーン (2)'!D40&lt;=160,5.7,IF('[1]クレーン (2)'!D40&lt;=360,11.7,IF('[1]クレーン (2)'!D40&lt;=550,20.9,20.9))))</f>
        <v>4.3</v>
      </c>
      <c r="L163" s="443">
        <f>VLOOKUP("全国平均",[1]労務単価!A1:G57,7,FALSE)</f>
        <v>21910</v>
      </c>
      <c r="M163" s="444"/>
      <c r="N163" s="372">
        <f>K163*L163</f>
        <v>94213</v>
      </c>
      <c r="O163" s="372"/>
      <c r="P163" s="150"/>
      <c r="Q163" s="150"/>
      <c r="R163" s="151"/>
      <c r="S163" s="118"/>
      <c r="T163" s="118"/>
      <c r="U163" s="118"/>
      <c r="V163" s="118"/>
      <c r="W163" s="118"/>
      <c r="X163" s="120"/>
    </row>
    <row r="164" spans="2:24" ht="14.25" customHeight="1">
      <c r="B164" s="385"/>
      <c r="C164" s="385"/>
      <c r="D164" s="386" t="s">
        <v>627</v>
      </c>
      <c r="E164" s="387"/>
      <c r="F164" s="387"/>
      <c r="G164" s="426" t="s">
        <v>628</v>
      </c>
      <c r="H164" s="427"/>
      <c r="I164" s="428"/>
      <c r="J164" s="123" t="s">
        <v>118</v>
      </c>
      <c r="K164" s="144">
        <f>IF('[1]クレーン (2)'!D40&lt;=120,1.5,IF('[1]クレーン (2)'!D40&lt;=160,1.9,IF('[1]クレーン (2)'!D40&lt;=360,4,IF('[1]クレーン (2)'!D40&lt;=550,7.1,7.1))))</f>
        <v>1.5</v>
      </c>
      <c r="L164" s="441">
        <f>VLOOKUP("全国平均",[1]クレーン単価!A1:N57,RANK(50,[1]クレーン単価!B1:N1,1)+1,FALSE)</f>
        <v>92600</v>
      </c>
      <c r="M164" s="442"/>
      <c r="N164" s="392">
        <f>K164*L164</f>
        <v>138900</v>
      </c>
      <c r="O164" s="392"/>
      <c r="P164" s="96"/>
      <c r="Q164" s="96"/>
      <c r="R164" s="96"/>
      <c r="S164" s="96"/>
      <c r="T164" s="96"/>
      <c r="U164" s="96"/>
      <c r="V164" s="96"/>
      <c r="W164" s="96"/>
      <c r="X164" s="122"/>
    </row>
    <row r="165" spans="2:24" ht="14.25" customHeight="1">
      <c r="B165" s="368"/>
      <c r="C165" s="368"/>
      <c r="D165" s="368"/>
      <c r="E165" s="368"/>
      <c r="F165" s="368"/>
      <c r="G165" s="401" t="s">
        <v>704</v>
      </c>
      <c r="H165" s="368"/>
      <c r="I165" s="368"/>
      <c r="J165" s="125"/>
      <c r="K165" s="126"/>
      <c r="L165" s="395"/>
      <c r="M165" s="395"/>
      <c r="N165" s="396"/>
      <c r="O165" s="396"/>
      <c r="P165" s="96"/>
      <c r="Q165" s="96"/>
      <c r="R165" s="96"/>
      <c r="S165" s="96"/>
      <c r="T165" s="96"/>
      <c r="U165" s="96"/>
      <c r="V165" s="96"/>
      <c r="W165" s="96"/>
      <c r="X165" s="122"/>
    </row>
    <row r="166" spans="2:24" ht="14.25" customHeight="1">
      <c r="B166" s="368" t="s">
        <v>705</v>
      </c>
      <c r="C166" s="368"/>
      <c r="D166" s="369" t="s">
        <v>705</v>
      </c>
      <c r="E166" s="369"/>
      <c r="F166" s="369"/>
      <c r="G166" s="369"/>
      <c r="H166" s="369"/>
      <c r="I166" s="369"/>
      <c r="J166" s="103" t="s">
        <v>706</v>
      </c>
      <c r="K166" s="144">
        <f>IF('[1]クレーン (2)'!D40&lt;=120,439,IF('[1]クレーン (2)'!D40&lt;=160,454,IF('[1]クレーン (2)'!D40&lt;=360,443,IF('[1]クレーン (2)'!D40&lt;=550,446,446))))</f>
        <v>439</v>
      </c>
      <c r="L166" s="382"/>
      <c r="M166" s="382"/>
      <c r="N166" s="372">
        <f>(N163+N164)*K166*0.01</f>
        <v>1023366.0700000001</v>
      </c>
      <c r="O166" s="372"/>
      <c r="P166" s="138"/>
      <c r="Q166" s="138"/>
      <c r="R166" s="138"/>
      <c r="S166" s="96"/>
      <c r="T166" s="96"/>
      <c r="U166" s="96"/>
      <c r="V166" s="96"/>
      <c r="W166" s="96"/>
      <c r="X166" s="122"/>
    </row>
    <row r="167" spans="2:24" ht="14.25" customHeight="1">
      <c r="B167" s="369"/>
      <c r="C167" s="369"/>
      <c r="D167" s="369" t="s">
        <v>237</v>
      </c>
      <c r="E167" s="369"/>
      <c r="F167" s="369"/>
      <c r="G167" s="369"/>
      <c r="H167" s="369"/>
      <c r="I167" s="369"/>
      <c r="J167" s="103"/>
      <c r="K167" s="106"/>
      <c r="L167" s="381"/>
      <c r="M167" s="371"/>
      <c r="N167" s="372">
        <f>SUM(N163:O166)</f>
        <v>1256479.07</v>
      </c>
      <c r="O167" s="372"/>
      <c r="P167" s="135"/>
      <c r="Q167" s="135"/>
      <c r="R167" s="135"/>
      <c r="S167" s="135"/>
      <c r="T167" s="135"/>
      <c r="U167" s="135"/>
      <c r="V167" s="135"/>
      <c r="W167" s="135"/>
      <c r="X167" s="115"/>
    </row>
    <row r="168" spans="2:24" ht="14.25" customHeight="1">
      <c r="B168" s="99"/>
      <c r="V168" s="112"/>
    </row>
    <row r="169" spans="2:24" ht="14.25" customHeight="1">
      <c r="B169" s="99"/>
      <c r="V169" s="112"/>
    </row>
    <row r="170" spans="2:24" ht="14.25" hidden="1" customHeight="1">
      <c r="B170" s="99"/>
      <c r="V170" s="152">
        <v>2</v>
      </c>
      <c r="W170" s="101" t="s">
        <v>707</v>
      </c>
    </row>
    <row r="171" spans="2:24" ht="14.25" hidden="1" customHeight="1">
      <c r="B171" s="424" t="s">
        <v>566</v>
      </c>
      <c r="C171" s="425"/>
      <c r="D171" s="412" t="s">
        <v>567</v>
      </c>
      <c r="E171" s="438"/>
      <c r="F171" s="375"/>
      <c r="G171" s="424" t="s">
        <v>611</v>
      </c>
      <c r="H171" s="413"/>
      <c r="I171" s="425"/>
      <c r="J171" s="103" t="s">
        <v>568</v>
      </c>
      <c r="K171" s="103" t="s">
        <v>569</v>
      </c>
      <c r="L171" s="424" t="s">
        <v>612</v>
      </c>
      <c r="M171" s="425"/>
      <c r="N171" s="424" t="s">
        <v>613</v>
      </c>
      <c r="O171" s="425"/>
      <c r="P171" s="424" t="s">
        <v>614</v>
      </c>
      <c r="Q171" s="413"/>
      <c r="R171" s="413"/>
      <c r="S171" s="413"/>
      <c r="T171" s="413"/>
      <c r="U171" s="413"/>
      <c r="V171" s="413"/>
      <c r="W171" s="413"/>
      <c r="X171" s="425"/>
    </row>
    <row r="172" spans="2:24" ht="14.25" hidden="1" customHeight="1">
      <c r="B172" s="373" t="s">
        <v>615</v>
      </c>
      <c r="C172" s="374"/>
      <c r="D172" s="424" t="s">
        <v>616</v>
      </c>
      <c r="E172" s="413"/>
      <c r="F172" s="425"/>
      <c r="G172" s="113" t="s">
        <v>617</v>
      </c>
      <c r="H172" s="114">
        <f>1*V170</f>
        <v>2</v>
      </c>
      <c r="I172" s="115" t="s">
        <v>618</v>
      </c>
      <c r="J172" s="103" t="s">
        <v>619</v>
      </c>
      <c r="K172" s="116">
        <f>H172*R172</f>
        <v>0</v>
      </c>
      <c r="L172" s="439">
        <f>L141</f>
        <v>33710</v>
      </c>
      <c r="M172" s="440"/>
      <c r="N172" s="370">
        <f>K172*L172</f>
        <v>0</v>
      </c>
      <c r="O172" s="418"/>
      <c r="P172" s="373" t="s">
        <v>669</v>
      </c>
      <c r="Q172" s="384"/>
      <c r="R172" s="117"/>
      <c r="S172" s="118" t="s">
        <v>118</v>
      </c>
      <c r="T172" s="118"/>
      <c r="U172" s="118"/>
      <c r="V172" s="118"/>
      <c r="W172" s="118"/>
      <c r="X172" s="120"/>
    </row>
    <row r="173" spans="2:24" ht="14.25" hidden="1" customHeight="1">
      <c r="B173" s="377"/>
      <c r="C173" s="378"/>
      <c r="D173" s="424" t="s">
        <v>623</v>
      </c>
      <c r="E173" s="413"/>
      <c r="F173" s="425"/>
      <c r="G173" s="113" t="s">
        <v>617</v>
      </c>
      <c r="H173" s="114">
        <f>6*V170</f>
        <v>12</v>
      </c>
      <c r="I173" s="115" t="s">
        <v>618</v>
      </c>
      <c r="J173" s="103" t="s">
        <v>624</v>
      </c>
      <c r="K173" s="116">
        <f>H173*R172</f>
        <v>0</v>
      </c>
      <c r="L173" s="439">
        <f>L142</f>
        <v>28930</v>
      </c>
      <c r="M173" s="440"/>
      <c r="N173" s="370">
        <f>K173*L173</f>
        <v>0</v>
      </c>
      <c r="O173" s="418"/>
      <c r="P173" s="96"/>
      <c r="Q173" s="96"/>
      <c r="R173" s="96"/>
      <c r="S173" s="96"/>
      <c r="T173" s="96"/>
      <c r="U173" s="96"/>
      <c r="V173" s="96"/>
      <c r="W173" s="96"/>
      <c r="X173" s="122"/>
    </row>
    <row r="174" spans="2:24" ht="14.25" hidden="1" customHeight="1">
      <c r="B174" s="412" t="s">
        <v>708</v>
      </c>
      <c r="C174" s="375"/>
      <c r="D174" s="412" t="s">
        <v>709</v>
      </c>
      <c r="E174" s="438"/>
      <c r="F174" s="375"/>
      <c r="G174" s="412" t="s">
        <v>710</v>
      </c>
      <c r="H174" s="438"/>
      <c r="I174" s="375"/>
      <c r="J174" s="153" t="s">
        <v>711</v>
      </c>
      <c r="K174" s="116"/>
      <c r="L174" s="439">
        <f>N188/100</f>
        <v>0</v>
      </c>
      <c r="M174" s="440"/>
      <c r="N174" s="370">
        <f>K174*L174</f>
        <v>0</v>
      </c>
      <c r="O174" s="418"/>
      <c r="P174" s="154"/>
      <c r="Q174" s="62"/>
      <c r="R174" s="138"/>
      <c r="S174" s="62"/>
      <c r="T174" s="155"/>
      <c r="U174" s="60"/>
      <c r="V174" s="96"/>
      <c r="W174" s="96"/>
      <c r="X174" s="122"/>
    </row>
    <row r="175" spans="2:24" ht="14.25" hidden="1" customHeight="1">
      <c r="B175" s="401" t="s">
        <v>712</v>
      </c>
      <c r="C175" s="368"/>
      <c r="D175" s="338" t="s">
        <v>713</v>
      </c>
      <c r="E175" s="369"/>
      <c r="F175" s="369"/>
      <c r="G175" s="369"/>
      <c r="H175" s="369"/>
      <c r="I175" s="369"/>
      <c r="J175" s="153" t="s">
        <v>714</v>
      </c>
      <c r="K175" s="116"/>
      <c r="L175" s="383">
        <f>N195</f>
        <v>129700</v>
      </c>
      <c r="M175" s="383"/>
      <c r="N175" s="372">
        <f>K175*L175</f>
        <v>0</v>
      </c>
      <c r="O175" s="372"/>
      <c r="P175" s="96"/>
      <c r="Q175" s="96"/>
      <c r="R175" s="96"/>
      <c r="S175" s="96"/>
      <c r="T175" s="96"/>
      <c r="U175" s="96"/>
      <c r="V175" s="96"/>
      <c r="W175" s="96"/>
      <c r="X175" s="122"/>
    </row>
    <row r="176" spans="2:24" ht="14.25" hidden="1" customHeight="1">
      <c r="B176" s="401" t="s">
        <v>715</v>
      </c>
      <c r="C176" s="368"/>
      <c r="D176" s="338"/>
      <c r="E176" s="369"/>
      <c r="F176" s="369"/>
      <c r="G176" s="369"/>
      <c r="H176" s="369"/>
      <c r="I176" s="369"/>
      <c r="J176" s="123" t="s">
        <v>235</v>
      </c>
      <c r="K176" s="139">
        <v>1</v>
      </c>
      <c r="L176" s="408"/>
      <c r="M176" s="408"/>
      <c r="N176" s="392">
        <f>(N172+N173)*(R176/100)</f>
        <v>0</v>
      </c>
      <c r="O176" s="392"/>
      <c r="P176" s="138" t="s">
        <v>615</v>
      </c>
      <c r="Q176" s="138" t="s">
        <v>17</v>
      </c>
      <c r="R176" s="138">
        <v>33</v>
      </c>
      <c r="S176" s="96" t="s">
        <v>680</v>
      </c>
      <c r="T176" s="96"/>
      <c r="U176" s="96"/>
      <c r="V176" s="96"/>
      <c r="W176" s="96"/>
      <c r="X176" s="122"/>
    </row>
    <row r="177" spans="2:28" ht="14.25" hidden="1" customHeight="1">
      <c r="B177" s="369"/>
      <c r="C177" s="369"/>
      <c r="D177" s="369" t="s">
        <v>237</v>
      </c>
      <c r="E177" s="369"/>
      <c r="F177" s="369"/>
      <c r="G177" s="369"/>
      <c r="H177" s="369"/>
      <c r="I177" s="369"/>
      <c r="J177" s="103"/>
      <c r="K177" s="104">
        <f>'[1]日数 (2)'!F234</f>
        <v>57.999999999999993</v>
      </c>
      <c r="L177" s="370">
        <f>INT(Cel工事_現場継手部溶接工_金額計 / Cel工事_現場継手部溶接工_数量計)</f>
        <v>0</v>
      </c>
      <c r="M177" s="371"/>
      <c r="N177" s="372">
        <f>SUM(N172:O176)</f>
        <v>0</v>
      </c>
      <c r="O177" s="372"/>
      <c r="P177" s="135"/>
      <c r="Q177" s="135"/>
      <c r="R177" s="135"/>
      <c r="S177" s="135"/>
      <c r="T177" s="135"/>
      <c r="U177" s="135"/>
      <c r="V177" s="135"/>
      <c r="W177" s="135"/>
      <c r="X177" s="115"/>
    </row>
    <row r="178" spans="2:28" ht="14.25" hidden="1" customHeight="1">
      <c r="B178" s="138"/>
      <c r="C178" s="138"/>
      <c r="D178" s="138"/>
      <c r="E178" s="138"/>
      <c r="F178" s="138"/>
      <c r="G178" s="138"/>
      <c r="H178" s="138"/>
      <c r="I178" s="138"/>
      <c r="J178" s="138"/>
      <c r="K178" s="140"/>
      <c r="L178" s="141"/>
      <c r="M178" s="141"/>
      <c r="P178" s="96"/>
      <c r="Q178" s="96"/>
      <c r="R178" s="96"/>
      <c r="S178" s="96"/>
      <c r="T178" s="96"/>
      <c r="U178" s="96"/>
      <c r="V178" s="96"/>
      <c r="W178" s="96"/>
      <c r="X178" s="96"/>
    </row>
    <row r="179" spans="2:28" ht="14.25" hidden="1" customHeight="1"/>
    <row r="180" spans="2:28" ht="14.25" hidden="1" customHeight="1">
      <c r="B180" s="99" t="s">
        <v>716</v>
      </c>
      <c r="J180" s="436" t="s">
        <v>717</v>
      </c>
      <c r="K180" s="437"/>
      <c r="L180" s="156">
        <f>[1]日数!D245</f>
        <v>0</v>
      </c>
      <c r="M180" s="105" t="s">
        <v>718</v>
      </c>
      <c r="V180" s="112"/>
    </row>
    <row r="181" spans="2:28" ht="14.25" hidden="1" customHeight="1">
      <c r="B181" s="369" t="s">
        <v>566</v>
      </c>
      <c r="C181" s="369"/>
      <c r="D181" s="338" t="s">
        <v>567</v>
      </c>
      <c r="E181" s="369"/>
      <c r="F181" s="369"/>
      <c r="G181" s="369" t="s">
        <v>611</v>
      </c>
      <c r="H181" s="369"/>
      <c r="I181" s="369"/>
      <c r="J181" s="103" t="s">
        <v>568</v>
      </c>
      <c r="K181" s="103" t="s">
        <v>569</v>
      </c>
      <c r="L181" s="369" t="s">
        <v>612</v>
      </c>
      <c r="M181" s="369"/>
      <c r="N181" s="369" t="s">
        <v>613</v>
      </c>
      <c r="O181" s="369"/>
      <c r="P181" s="425" t="s">
        <v>614</v>
      </c>
      <c r="Q181" s="369"/>
      <c r="R181" s="369"/>
      <c r="S181" s="369"/>
      <c r="T181" s="369"/>
      <c r="U181" s="369"/>
      <c r="V181" s="369"/>
      <c r="W181" s="369"/>
      <c r="X181" s="369"/>
    </row>
    <row r="182" spans="2:28" ht="14.25" hidden="1" customHeight="1">
      <c r="B182" s="407" t="s">
        <v>708</v>
      </c>
      <c r="C182" s="379"/>
      <c r="D182" s="338" t="s">
        <v>719</v>
      </c>
      <c r="E182" s="369"/>
      <c r="F182" s="369"/>
      <c r="G182" s="338" t="s">
        <v>710</v>
      </c>
      <c r="H182" s="369"/>
      <c r="I182" s="369"/>
      <c r="J182" s="153" t="s">
        <v>720</v>
      </c>
      <c r="K182" s="157">
        <f>W182</f>
        <v>-200</v>
      </c>
      <c r="L182" s="376" t="s">
        <v>721</v>
      </c>
      <c r="M182" s="376"/>
      <c r="N182" s="376" t="s">
        <v>721</v>
      </c>
      <c r="O182" s="376"/>
      <c r="P182" s="434" t="s">
        <v>722</v>
      </c>
      <c r="Q182" s="435"/>
      <c r="R182" s="158">
        <f>L180</f>
        <v>0</v>
      </c>
      <c r="S182" s="159" t="s">
        <v>723</v>
      </c>
      <c r="T182" s="160" t="s">
        <v>724</v>
      </c>
      <c r="U182" s="161" t="s">
        <v>725</v>
      </c>
      <c r="V182" s="62" t="s">
        <v>671</v>
      </c>
      <c r="W182" s="162">
        <f>ROUND((0.2172 * R182 - 2)*100, 0)</f>
        <v>-200</v>
      </c>
      <c r="X182" s="163" t="s">
        <v>726</v>
      </c>
    </row>
    <row r="183" spans="2:28" ht="14.25" hidden="1" customHeight="1">
      <c r="B183" s="385"/>
      <c r="C183" s="385"/>
      <c r="D183" s="338" t="s">
        <v>727</v>
      </c>
      <c r="E183" s="369"/>
      <c r="F183" s="369"/>
      <c r="G183" s="369"/>
      <c r="H183" s="369"/>
      <c r="I183" s="369"/>
      <c r="J183" s="103" t="s">
        <v>624</v>
      </c>
      <c r="K183" s="157">
        <f>W183</f>
        <v>-200</v>
      </c>
      <c r="L183" s="376" t="s">
        <v>721</v>
      </c>
      <c r="M183" s="376"/>
      <c r="N183" s="376" t="s">
        <v>721</v>
      </c>
      <c r="O183" s="376"/>
      <c r="P183" s="432" t="s">
        <v>722</v>
      </c>
      <c r="Q183" s="433"/>
      <c r="R183" s="164">
        <f>L180</f>
        <v>0</v>
      </c>
      <c r="S183" s="76" t="s">
        <v>723</v>
      </c>
      <c r="T183" s="138" t="s">
        <v>728</v>
      </c>
      <c r="U183" s="62" t="s">
        <v>725</v>
      </c>
      <c r="V183" s="62" t="s">
        <v>671</v>
      </c>
      <c r="W183" s="165">
        <f>ROUND((0.2172 * R183 - 2)*100, 0)</f>
        <v>-200</v>
      </c>
      <c r="X183" s="166" t="s">
        <v>729</v>
      </c>
    </row>
    <row r="184" spans="2:28" ht="14.25" hidden="1" customHeight="1">
      <c r="B184" s="402"/>
      <c r="C184" s="385"/>
      <c r="D184" s="346" t="s">
        <v>730</v>
      </c>
      <c r="E184" s="406"/>
      <c r="F184" s="406"/>
      <c r="G184" s="338" t="s">
        <v>731</v>
      </c>
      <c r="H184" s="369"/>
      <c r="I184" s="369"/>
      <c r="J184" s="153" t="s">
        <v>587</v>
      </c>
      <c r="K184" s="167">
        <v>110</v>
      </c>
      <c r="L184" s="376" t="s">
        <v>721</v>
      </c>
      <c r="M184" s="376"/>
      <c r="N184" s="376" t="s">
        <v>721</v>
      </c>
      <c r="O184" s="376"/>
      <c r="P184" s="82"/>
      <c r="Q184" s="62"/>
      <c r="R184" s="154"/>
      <c r="S184" s="168"/>
      <c r="T184" s="62"/>
      <c r="U184" s="169"/>
      <c r="V184" s="62"/>
      <c r="W184" s="96"/>
      <c r="X184" s="122"/>
    </row>
    <row r="185" spans="2:28" ht="14.25" hidden="1" customHeight="1">
      <c r="B185" s="385"/>
      <c r="C185" s="385"/>
      <c r="D185" s="401" t="s">
        <v>732</v>
      </c>
      <c r="E185" s="368"/>
      <c r="F185" s="368"/>
      <c r="G185" s="401" t="s">
        <v>733</v>
      </c>
      <c r="H185" s="368"/>
      <c r="I185" s="368"/>
      <c r="J185" s="170" t="s">
        <v>734</v>
      </c>
      <c r="K185" s="171"/>
      <c r="L185" s="376" t="s">
        <v>735</v>
      </c>
      <c r="M185" s="376"/>
      <c r="N185" s="376" t="s">
        <v>721</v>
      </c>
      <c r="O185" s="376"/>
      <c r="P185" s="96"/>
      <c r="Q185" s="96"/>
      <c r="R185" s="96"/>
      <c r="S185" s="96"/>
      <c r="T185" s="96"/>
      <c r="U185" s="96"/>
      <c r="V185" s="96"/>
      <c r="W185" s="96"/>
      <c r="X185" s="122"/>
    </row>
    <row r="186" spans="2:28" ht="14.25" hidden="1" customHeight="1">
      <c r="B186" s="401"/>
      <c r="C186" s="368"/>
      <c r="D186" s="338" t="s">
        <v>736</v>
      </c>
      <c r="E186" s="369"/>
      <c r="F186" s="369"/>
      <c r="G186" s="338" t="s">
        <v>733</v>
      </c>
      <c r="H186" s="369"/>
      <c r="I186" s="369"/>
      <c r="J186" s="103" t="s">
        <v>624</v>
      </c>
      <c r="K186" s="172"/>
      <c r="L186" s="376" t="s">
        <v>735</v>
      </c>
      <c r="M186" s="376"/>
      <c r="N186" s="376" t="s">
        <v>735</v>
      </c>
      <c r="O186" s="376"/>
      <c r="P186" s="96"/>
      <c r="Q186" s="96"/>
      <c r="R186" s="96"/>
      <c r="T186" s="96"/>
      <c r="U186" s="96"/>
      <c r="V186" s="96"/>
      <c r="W186" s="96"/>
      <c r="X186" s="122"/>
    </row>
    <row r="187" spans="2:28" ht="14.25" hidden="1" customHeight="1">
      <c r="B187" s="401" t="s">
        <v>678</v>
      </c>
      <c r="C187" s="368"/>
      <c r="D187" s="338"/>
      <c r="E187" s="369"/>
      <c r="F187" s="369"/>
      <c r="G187" s="369"/>
      <c r="H187" s="369"/>
      <c r="I187" s="369"/>
      <c r="J187" s="153" t="s">
        <v>737</v>
      </c>
      <c r="K187" s="167">
        <v>5</v>
      </c>
      <c r="L187" s="382"/>
      <c r="M187" s="382"/>
      <c r="N187" s="376" t="s">
        <v>735</v>
      </c>
      <c r="O187" s="376"/>
      <c r="P187" s="173"/>
      <c r="Q187" s="138" t="s">
        <v>686</v>
      </c>
      <c r="R187" s="174"/>
      <c r="S187" s="175" t="s">
        <v>699</v>
      </c>
      <c r="T187" s="176">
        <v>100</v>
      </c>
      <c r="U187" s="96"/>
      <c r="V187" s="96"/>
      <c r="W187" s="96"/>
      <c r="X187" s="122"/>
      <c r="AB187" s="177"/>
    </row>
    <row r="188" spans="2:28" ht="14.25" hidden="1" customHeight="1">
      <c r="B188" s="369"/>
      <c r="C188" s="369"/>
      <c r="D188" s="369" t="s">
        <v>237</v>
      </c>
      <c r="E188" s="369"/>
      <c r="F188" s="369"/>
      <c r="G188" s="369"/>
      <c r="H188" s="369"/>
      <c r="I188" s="369"/>
      <c r="J188" s="103"/>
      <c r="K188" s="106"/>
      <c r="L188" s="381"/>
      <c r="M188" s="371"/>
      <c r="N188" s="431">
        <f>P187*R187*((100+K187)/100)*100</f>
        <v>0</v>
      </c>
      <c r="O188" s="431"/>
      <c r="P188" s="135"/>
      <c r="Q188" s="135"/>
      <c r="R188" s="135"/>
      <c r="S188" s="135"/>
      <c r="T188" s="135"/>
      <c r="U188" s="135"/>
      <c r="V188" s="135"/>
      <c r="W188" s="135"/>
      <c r="X188" s="115"/>
    </row>
    <row r="189" spans="2:28" ht="14.25" hidden="1" customHeight="1"/>
    <row r="190" spans="2:28" ht="14.25" hidden="1" customHeight="1">
      <c r="B190" s="99" t="s">
        <v>738</v>
      </c>
      <c r="J190" s="145"/>
      <c r="K190" s="178"/>
      <c r="L190" s="105"/>
      <c r="V190" s="112"/>
    </row>
    <row r="191" spans="2:28" ht="14.25" hidden="1" customHeight="1">
      <c r="B191" s="369" t="s">
        <v>566</v>
      </c>
      <c r="C191" s="369"/>
      <c r="D191" s="338" t="s">
        <v>567</v>
      </c>
      <c r="E191" s="369"/>
      <c r="F191" s="369"/>
      <c r="G191" s="369" t="s">
        <v>611</v>
      </c>
      <c r="H191" s="369"/>
      <c r="I191" s="369"/>
      <c r="J191" s="103" t="s">
        <v>568</v>
      </c>
      <c r="K191" s="103" t="s">
        <v>569</v>
      </c>
      <c r="L191" s="369" t="s">
        <v>612</v>
      </c>
      <c r="M191" s="369"/>
      <c r="N191" s="369" t="s">
        <v>613</v>
      </c>
      <c r="O191" s="369"/>
      <c r="P191" s="425" t="s">
        <v>614</v>
      </c>
      <c r="Q191" s="369"/>
      <c r="R191" s="369"/>
      <c r="S191" s="369"/>
      <c r="T191" s="369"/>
      <c r="U191" s="369"/>
      <c r="V191" s="369"/>
      <c r="W191" s="369"/>
      <c r="X191" s="369"/>
    </row>
    <row r="192" spans="2:28" ht="14.25" hidden="1" customHeight="1">
      <c r="B192" s="407" t="s">
        <v>712</v>
      </c>
      <c r="C192" s="379"/>
      <c r="D192" s="338" t="s">
        <v>739</v>
      </c>
      <c r="E192" s="369"/>
      <c r="F192" s="369"/>
      <c r="G192" s="338" t="s">
        <v>740</v>
      </c>
      <c r="H192" s="369"/>
      <c r="I192" s="369"/>
      <c r="J192" s="153" t="s">
        <v>741</v>
      </c>
      <c r="K192" s="179">
        <v>4</v>
      </c>
      <c r="L192" s="376">
        <v>25800</v>
      </c>
      <c r="M192" s="376"/>
      <c r="N192" s="372">
        <f>K192*L192</f>
        <v>103200</v>
      </c>
      <c r="O192" s="372"/>
      <c r="P192" s="180" t="s">
        <v>742</v>
      </c>
      <c r="Q192" s="181"/>
      <c r="R192" s="151"/>
      <c r="S192" s="160"/>
      <c r="T192" s="182"/>
      <c r="U192" s="160"/>
      <c r="V192" s="182"/>
      <c r="W192" s="118"/>
      <c r="X192" s="120"/>
    </row>
    <row r="193" spans="2:24" ht="14.25" hidden="1" customHeight="1">
      <c r="B193" s="385"/>
      <c r="C193" s="385"/>
      <c r="D193" s="338" t="s">
        <v>743</v>
      </c>
      <c r="E193" s="369"/>
      <c r="F193" s="369"/>
      <c r="G193" s="338" t="s">
        <v>744</v>
      </c>
      <c r="H193" s="369"/>
      <c r="I193" s="369"/>
      <c r="J193" s="103" t="s">
        <v>624</v>
      </c>
      <c r="K193" s="179">
        <v>2</v>
      </c>
      <c r="L193" s="376">
        <v>8800</v>
      </c>
      <c r="M193" s="376"/>
      <c r="N193" s="372">
        <f>K193*L193</f>
        <v>17600</v>
      </c>
      <c r="O193" s="370"/>
      <c r="P193" s="183"/>
      <c r="Q193" s="62"/>
      <c r="R193" s="154"/>
      <c r="S193" s="62"/>
      <c r="T193" s="138"/>
      <c r="U193" s="60"/>
      <c r="V193" s="96"/>
      <c r="W193" s="96"/>
      <c r="X193" s="122"/>
    </row>
    <row r="194" spans="2:24" ht="14.25" hidden="1" customHeight="1">
      <c r="B194" s="402"/>
      <c r="C194" s="385"/>
      <c r="D194" s="346" t="s">
        <v>743</v>
      </c>
      <c r="E194" s="406"/>
      <c r="F194" s="406"/>
      <c r="G194" s="338" t="s">
        <v>744</v>
      </c>
      <c r="H194" s="369"/>
      <c r="I194" s="369"/>
      <c r="J194" s="103" t="s">
        <v>624</v>
      </c>
      <c r="K194" s="179">
        <v>2</v>
      </c>
      <c r="L194" s="376">
        <v>4450</v>
      </c>
      <c r="M194" s="376"/>
      <c r="N194" s="372">
        <f>K194*L194</f>
        <v>8900</v>
      </c>
      <c r="O194" s="370"/>
      <c r="P194" s="184"/>
      <c r="Q194" s="62"/>
      <c r="R194" s="154"/>
      <c r="S194" s="168"/>
      <c r="T194" s="62"/>
      <c r="U194" s="185"/>
      <c r="V194" s="96"/>
      <c r="W194" s="96"/>
      <c r="X194" s="122"/>
    </row>
    <row r="195" spans="2:24" ht="14.25" hidden="1" customHeight="1">
      <c r="B195" s="369"/>
      <c r="C195" s="369"/>
      <c r="D195" s="369" t="s">
        <v>237</v>
      </c>
      <c r="E195" s="369"/>
      <c r="F195" s="369"/>
      <c r="G195" s="369"/>
      <c r="H195" s="369"/>
      <c r="I195" s="369"/>
      <c r="J195" s="103"/>
      <c r="K195" s="106"/>
      <c r="L195" s="381"/>
      <c r="M195" s="371"/>
      <c r="N195" s="372">
        <f>SUM(N192:O194)</f>
        <v>129700</v>
      </c>
      <c r="O195" s="372"/>
      <c r="P195" s="135"/>
      <c r="Q195" s="135"/>
      <c r="R195" s="135"/>
      <c r="S195" s="135"/>
      <c r="T195" s="135"/>
      <c r="U195" s="135"/>
      <c r="V195" s="135"/>
      <c r="W195" s="135"/>
      <c r="X195" s="115"/>
    </row>
    <row r="196" spans="2:24" ht="14.25" hidden="1" customHeight="1"/>
    <row r="197" spans="2:24" ht="14.25" hidden="1" customHeight="1"/>
    <row r="198" spans="2:24" ht="14.25" hidden="1" customHeight="1">
      <c r="B198" s="99"/>
      <c r="V198" s="112"/>
    </row>
    <row r="199" spans="2:24" ht="14.25" hidden="1" customHeight="1">
      <c r="B199" s="369" t="s">
        <v>566</v>
      </c>
      <c r="C199" s="369"/>
      <c r="D199" s="338" t="s">
        <v>567</v>
      </c>
      <c r="E199" s="369"/>
      <c r="F199" s="369"/>
      <c r="G199" s="369" t="s">
        <v>611</v>
      </c>
      <c r="H199" s="369"/>
      <c r="I199" s="369"/>
      <c r="J199" s="103" t="s">
        <v>568</v>
      </c>
      <c r="K199" s="103" t="s">
        <v>569</v>
      </c>
      <c r="L199" s="369" t="s">
        <v>612</v>
      </c>
      <c r="M199" s="369"/>
      <c r="N199" s="369" t="s">
        <v>613</v>
      </c>
      <c r="O199" s="369"/>
      <c r="P199" s="425" t="s">
        <v>614</v>
      </c>
      <c r="Q199" s="369"/>
      <c r="R199" s="369"/>
      <c r="S199" s="369"/>
      <c r="T199" s="369"/>
      <c r="U199" s="369"/>
      <c r="V199" s="369"/>
      <c r="W199" s="369"/>
      <c r="X199" s="369"/>
    </row>
    <row r="200" spans="2:24" ht="14.25" hidden="1" customHeight="1">
      <c r="B200" s="379" t="s">
        <v>615</v>
      </c>
      <c r="C200" s="379"/>
      <c r="D200" s="369" t="s">
        <v>616</v>
      </c>
      <c r="E200" s="369"/>
      <c r="F200" s="369"/>
      <c r="G200" s="113" t="s">
        <v>617</v>
      </c>
      <c r="H200" s="114">
        <v>1</v>
      </c>
      <c r="I200" s="115" t="s">
        <v>618</v>
      </c>
      <c r="J200" s="103" t="s">
        <v>619</v>
      </c>
      <c r="K200" s="116">
        <f>H200*R200</f>
        <v>0</v>
      </c>
      <c r="L200" s="383">
        <f>L141</f>
        <v>33710</v>
      </c>
      <c r="M200" s="383"/>
      <c r="N200" s="372">
        <f>K200*L200</f>
        <v>0</v>
      </c>
      <c r="O200" s="372"/>
      <c r="P200" s="384" t="s">
        <v>669</v>
      </c>
      <c r="Q200" s="384"/>
      <c r="R200" s="117"/>
      <c r="S200" s="118" t="s">
        <v>118</v>
      </c>
      <c r="T200" s="118"/>
      <c r="U200" s="118"/>
      <c r="V200" s="118"/>
      <c r="W200" s="118"/>
      <c r="X200" s="120"/>
    </row>
    <row r="201" spans="2:24" ht="14.25" hidden="1" customHeight="1">
      <c r="B201" s="385"/>
      <c r="C201" s="385"/>
      <c r="D201" s="369" t="s">
        <v>623</v>
      </c>
      <c r="E201" s="369"/>
      <c r="F201" s="369"/>
      <c r="G201" s="113" t="s">
        <v>617</v>
      </c>
      <c r="H201" s="114">
        <v>2</v>
      </c>
      <c r="I201" s="115" t="s">
        <v>618</v>
      </c>
      <c r="J201" s="103" t="s">
        <v>624</v>
      </c>
      <c r="K201" s="116">
        <f>H201*R200</f>
        <v>0</v>
      </c>
      <c r="L201" s="383">
        <f>L142</f>
        <v>28930</v>
      </c>
      <c r="M201" s="383"/>
      <c r="N201" s="372">
        <f>K201*L201</f>
        <v>0</v>
      </c>
      <c r="O201" s="372"/>
      <c r="P201" s="96"/>
      <c r="Q201" s="96"/>
      <c r="R201" s="96"/>
      <c r="S201" s="96"/>
      <c r="T201" s="96"/>
      <c r="U201" s="96"/>
      <c r="V201" s="96"/>
      <c r="W201" s="96"/>
      <c r="X201" s="122"/>
    </row>
    <row r="202" spans="2:24" ht="14.25" hidden="1" customHeight="1">
      <c r="B202" s="379" t="s">
        <v>626</v>
      </c>
      <c r="C202" s="379"/>
      <c r="D202" s="338" t="s">
        <v>745</v>
      </c>
      <c r="E202" s="369"/>
      <c r="F202" s="369"/>
      <c r="G202" s="407" t="s">
        <v>746</v>
      </c>
      <c r="H202" s="379"/>
      <c r="I202" s="379"/>
      <c r="J202" s="186" t="s">
        <v>747</v>
      </c>
      <c r="K202" s="124">
        <v>4</v>
      </c>
      <c r="L202" s="410"/>
      <c r="M202" s="410"/>
      <c r="N202" s="391">
        <f>K202*L202</f>
        <v>0</v>
      </c>
      <c r="O202" s="391"/>
      <c r="P202" s="155"/>
      <c r="Q202" s="62"/>
      <c r="R202" s="187"/>
      <c r="S202" s="168"/>
      <c r="T202" s="62"/>
      <c r="U202" s="188"/>
      <c r="V202" s="62"/>
      <c r="W202" s="138"/>
      <c r="X202" s="122"/>
    </row>
    <row r="203" spans="2:24" ht="14.25" hidden="1" customHeight="1">
      <c r="B203" s="385"/>
      <c r="C203" s="385"/>
      <c r="D203" s="386" t="s">
        <v>627</v>
      </c>
      <c r="E203" s="387"/>
      <c r="F203" s="387"/>
      <c r="G203" s="430"/>
      <c r="H203" s="389"/>
      <c r="I203" s="390"/>
      <c r="J203" s="123" t="s">
        <v>624</v>
      </c>
      <c r="K203" s="124">
        <f>ROUND(R200,0)</f>
        <v>0</v>
      </c>
      <c r="L203" s="391"/>
      <c r="M203" s="391"/>
      <c r="N203" s="392">
        <f>K203*L203</f>
        <v>0</v>
      </c>
      <c r="O203" s="392"/>
      <c r="P203" s="96"/>
      <c r="Q203" s="96"/>
      <c r="R203" s="96"/>
      <c r="S203" s="96"/>
      <c r="T203" s="96"/>
      <c r="U203" s="96"/>
      <c r="V203" s="96"/>
      <c r="W203" s="96"/>
      <c r="X203" s="122"/>
    </row>
    <row r="204" spans="2:24" ht="14.25" hidden="1" customHeight="1">
      <c r="B204" s="385"/>
      <c r="C204" s="385"/>
      <c r="D204" s="368"/>
      <c r="E204" s="368"/>
      <c r="F204" s="368"/>
      <c r="G204" s="394"/>
      <c r="H204" s="394"/>
      <c r="I204" s="394"/>
      <c r="J204" s="125"/>
      <c r="K204" s="126"/>
      <c r="L204" s="395"/>
      <c r="M204" s="395"/>
      <c r="N204" s="396"/>
      <c r="O204" s="396"/>
      <c r="P204" s="96"/>
      <c r="Q204" s="96"/>
      <c r="R204" s="96"/>
      <c r="S204" s="96"/>
      <c r="T204" s="96"/>
      <c r="U204" s="96"/>
      <c r="V204" s="96"/>
      <c r="W204" s="96"/>
      <c r="X204" s="122"/>
    </row>
    <row r="205" spans="2:24" ht="14.25" hidden="1" customHeight="1">
      <c r="B205" s="385"/>
      <c r="C205" s="385"/>
      <c r="D205" s="369" t="s">
        <v>674</v>
      </c>
      <c r="E205" s="369"/>
      <c r="F205" s="369"/>
      <c r="G205" s="369"/>
      <c r="H205" s="369"/>
      <c r="I205" s="369"/>
      <c r="J205" s="103" t="s">
        <v>624</v>
      </c>
      <c r="K205" s="116">
        <f>T205</f>
        <v>0</v>
      </c>
      <c r="L205" s="376">
        <v>9830</v>
      </c>
      <c r="M205" s="376"/>
      <c r="N205" s="372">
        <f>K205*L205</f>
        <v>0</v>
      </c>
      <c r="O205" s="372"/>
      <c r="P205" s="128">
        <f>R200</f>
        <v>0</v>
      </c>
      <c r="Q205" s="62" t="s">
        <v>748</v>
      </c>
      <c r="R205" s="138">
        <v>1.7</v>
      </c>
      <c r="S205" s="62" t="s">
        <v>671</v>
      </c>
      <c r="T205" s="130">
        <f>ROUND(P205*R205,0)</f>
        <v>0</v>
      </c>
      <c r="U205" s="60" t="s">
        <v>675</v>
      </c>
      <c r="V205" s="96"/>
      <c r="W205" s="96"/>
      <c r="X205" s="122"/>
    </row>
    <row r="206" spans="2:24" ht="14.25" hidden="1" customHeight="1">
      <c r="B206" s="369"/>
      <c r="C206" s="369"/>
      <c r="D206" s="369" t="s">
        <v>237</v>
      </c>
      <c r="E206" s="369"/>
      <c r="F206" s="369"/>
      <c r="G206" s="369"/>
      <c r="H206" s="369"/>
      <c r="I206" s="369"/>
      <c r="J206" s="103"/>
      <c r="K206" s="104">
        <f>'[1]基本 (2)'!K14</f>
        <v>50</v>
      </c>
      <c r="L206" s="370">
        <f>INT(Cel工事_溶接用ケーシング設備工_金額計 / Cel工事_溶接用ケーシング設備工_数量計)</f>
        <v>0</v>
      </c>
      <c r="M206" s="371"/>
      <c r="N206" s="372">
        <f>SUM(N200:O205)</f>
        <v>0</v>
      </c>
      <c r="O206" s="372"/>
      <c r="P206" s="135"/>
      <c r="Q206" s="135"/>
      <c r="R206" s="135"/>
      <c r="S206" s="135"/>
      <c r="T206" s="135"/>
      <c r="U206" s="135"/>
      <c r="V206" s="135"/>
      <c r="W206" s="135"/>
      <c r="X206" s="115"/>
    </row>
    <row r="207" spans="2:24" ht="14.25" hidden="1" customHeight="1"/>
    <row r="208" spans="2:24" ht="14.25" hidden="1" customHeight="1"/>
    <row r="209" spans="2:24" ht="14.25" customHeight="1">
      <c r="B209" s="99" t="s">
        <v>749</v>
      </c>
      <c r="V209" s="112"/>
    </row>
    <row r="210" spans="2:24" ht="14.25" customHeight="1">
      <c r="B210" s="369" t="s">
        <v>566</v>
      </c>
      <c r="C210" s="369"/>
      <c r="D210" s="338" t="s">
        <v>567</v>
      </c>
      <c r="E210" s="369"/>
      <c r="F210" s="369"/>
      <c r="G210" s="369" t="s">
        <v>611</v>
      </c>
      <c r="H210" s="369"/>
      <c r="I210" s="369"/>
      <c r="J210" s="103" t="s">
        <v>568</v>
      </c>
      <c r="K210" s="103" t="s">
        <v>569</v>
      </c>
      <c r="L210" s="369" t="s">
        <v>612</v>
      </c>
      <c r="M210" s="369"/>
      <c r="N210" s="369" t="s">
        <v>613</v>
      </c>
      <c r="O210" s="369"/>
      <c r="P210" s="369" t="s">
        <v>614</v>
      </c>
      <c r="Q210" s="369"/>
      <c r="R210" s="369"/>
      <c r="S210" s="369"/>
      <c r="T210" s="369"/>
      <c r="U210" s="369"/>
      <c r="V210" s="369"/>
      <c r="W210" s="369"/>
      <c r="X210" s="369"/>
    </row>
    <row r="211" spans="2:24" ht="14.25" customHeight="1">
      <c r="B211" s="379" t="s">
        <v>615</v>
      </c>
      <c r="C211" s="379"/>
      <c r="D211" s="369" t="s">
        <v>616</v>
      </c>
      <c r="E211" s="369"/>
      <c r="F211" s="369"/>
      <c r="G211" s="113" t="s">
        <v>617</v>
      </c>
      <c r="H211" s="114">
        <v>1</v>
      </c>
      <c r="I211" s="115" t="s">
        <v>618</v>
      </c>
      <c r="J211" s="103" t="s">
        <v>619</v>
      </c>
      <c r="K211" s="116">
        <f>H211*R211</f>
        <v>8</v>
      </c>
      <c r="L211" s="383">
        <f>L141</f>
        <v>33710</v>
      </c>
      <c r="M211" s="383"/>
      <c r="N211" s="372">
        <f>K211*L211</f>
        <v>269680</v>
      </c>
      <c r="O211" s="372"/>
      <c r="P211" s="384" t="s">
        <v>669</v>
      </c>
      <c r="Q211" s="384"/>
      <c r="R211" s="117">
        <f>'[1]日数 (2)'!D299</f>
        <v>8</v>
      </c>
      <c r="S211" s="118" t="s">
        <v>118</v>
      </c>
      <c r="T211" s="118"/>
      <c r="U211" s="118"/>
      <c r="V211" s="118"/>
      <c r="W211" s="118"/>
      <c r="X211" s="120"/>
    </row>
    <row r="212" spans="2:24" ht="14.25" customHeight="1">
      <c r="B212" s="385"/>
      <c r="C212" s="385"/>
      <c r="D212" s="369" t="s">
        <v>623</v>
      </c>
      <c r="E212" s="369"/>
      <c r="F212" s="369"/>
      <c r="G212" s="113" t="s">
        <v>617</v>
      </c>
      <c r="H212" s="114">
        <v>3</v>
      </c>
      <c r="I212" s="115" t="s">
        <v>618</v>
      </c>
      <c r="J212" s="103" t="s">
        <v>624</v>
      </c>
      <c r="K212" s="116">
        <f>H212*R211</f>
        <v>24</v>
      </c>
      <c r="L212" s="383">
        <f>L142</f>
        <v>28930</v>
      </c>
      <c r="M212" s="383"/>
      <c r="N212" s="372">
        <f>K212*L212</f>
        <v>694320</v>
      </c>
      <c r="O212" s="372"/>
      <c r="P212" s="96"/>
      <c r="Q212" s="96"/>
      <c r="R212" s="96"/>
      <c r="S212" s="96"/>
      <c r="T212" s="96"/>
      <c r="U212" s="96"/>
      <c r="V212" s="96"/>
      <c r="W212" s="96"/>
      <c r="X212" s="122"/>
    </row>
    <row r="213" spans="2:24" ht="14.25" customHeight="1">
      <c r="B213" s="368"/>
      <c r="C213" s="368"/>
      <c r="D213" s="369" t="s">
        <v>625</v>
      </c>
      <c r="E213" s="369"/>
      <c r="F213" s="369"/>
      <c r="G213" s="113" t="s">
        <v>617</v>
      </c>
      <c r="H213" s="114">
        <v>1</v>
      </c>
      <c r="I213" s="115" t="s">
        <v>618</v>
      </c>
      <c r="J213" s="103" t="s">
        <v>624</v>
      </c>
      <c r="K213" s="116">
        <f>H213*R211</f>
        <v>8</v>
      </c>
      <c r="L213" s="383">
        <f>L143</f>
        <v>18800</v>
      </c>
      <c r="M213" s="383"/>
      <c r="N213" s="372">
        <f>K213*L213</f>
        <v>150400</v>
      </c>
      <c r="O213" s="372"/>
      <c r="P213" s="96"/>
      <c r="Q213" s="96"/>
      <c r="R213" s="96"/>
      <c r="S213" s="96"/>
      <c r="T213" s="96"/>
      <c r="U213" s="96"/>
      <c r="V213" s="96"/>
      <c r="W213" s="96"/>
      <c r="X213" s="122"/>
    </row>
    <row r="214" spans="2:24" ht="14.25" customHeight="1">
      <c r="B214" s="379" t="s">
        <v>626</v>
      </c>
      <c r="C214" s="379"/>
      <c r="D214" s="386" t="s">
        <v>627</v>
      </c>
      <c r="E214" s="387"/>
      <c r="F214" s="387"/>
      <c r="G214" s="426" t="s">
        <v>628</v>
      </c>
      <c r="H214" s="427"/>
      <c r="I214" s="428"/>
      <c r="J214" s="123" t="s">
        <v>118</v>
      </c>
      <c r="K214" s="124">
        <f>ROUND(R211,0)</f>
        <v>8</v>
      </c>
      <c r="L214" s="391">
        <f>VLOOKUP("全国平均",[1]クレーン単価!A1:N57,4,FALSE)</f>
        <v>53200</v>
      </c>
      <c r="M214" s="391"/>
      <c r="N214" s="392">
        <f>K214*L214</f>
        <v>425600</v>
      </c>
      <c r="O214" s="392"/>
      <c r="P214" s="96"/>
      <c r="Q214" s="96"/>
      <c r="R214" s="96"/>
      <c r="S214" s="96"/>
      <c r="T214" s="96"/>
      <c r="U214" s="96"/>
      <c r="V214" s="96"/>
      <c r="W214" s="96"/>
      <c r="X214" s="122"/>
    </row>
    <row r="215" spans="2:24" ht="14.25" customHeight="1">
      <c r="B215" s="385"/>
      <c r="C215" s="385"/>
      <c r="D215" s="368"/>
      <c r="E215" s="368"/>
      <c r="F215" s="368"/>
      <c r="G215" s="401" t="s">
        <v>750</v>
      </c>
      <c r="H215" s="368"/>
      <c r="I215" s="368"/>
      <c r="J215" s="125"/>
      <c r="K215" s="126"/>
      <c r="L215" s="395"/>
      <c r="M215" s="395"/>
      <c r="N215" s="396"/>
      <c r="O215" s="396"/>
      <c r="P215" s="96"/>
      <c r="Q215" s="96"/>
      <c r="R215" s="96"/>
      <c r="S215" s="96"/>
      <c r="T215" s="96"/>
      <c r="U215" s="96"/>
      <c r="V215" s="96"/>
      <c r="W215" s="96"/>
      <c r="X215" s="122"/>
    </row>
    <row r="216" spans="2:24" ht="14.25" customHeight="1">
      <c r="B216" s="385"/>
      <c r="C216" s="385"/>
      <c r="D216" s="369" t="s">
        <v>674</v>
      </c>
      <c r="E216" s="369"/>
      <c r="F216" s="369"/>
      <c r="G216" s="369"/>
      <c r="H216" s="369"/>
      <c r="I216" s="369"/>
      <c r="J216" s="103" t="s">
        <v>624</v>
      </c>
      <c r="K216" s="116">
        <f>T216</f>
        <v>14</v>
      </c>
      <c r="L216" s="376">
        <v>9830</v>
      </c>
      <c r="M216" s="376"/>
      <c r="N216" s="372">
        <f>K216*L216</f>
        <v>137620</v>
      </c>
      <c r="O216" s="372"/>
      <c r="P216" s="128">
        <f>R211</f>
        <v>8</v>
      </c>
      <c r="Q216" s="62" t="s">
        <v>635</v>
      </c>
      <c r="R216" s="138">
        <v>1.7</v>
      </c>
      <c r="S216" s="62" t="s">
        <v>671</v>
      </c>
      <c r="T216" s="130">
        <f>ROUND(P216*R216,0)</f>
        <v>14</v>
      </c>
      <c r="U216" s="60" t="s">
        <v>675</v>
      </c>
      <c r="V216" s="96"/>
      <c r="W216" s="96"/>
      <c r="X216" s="122"/>
    </row>
    <row r="217" spans="2:24" ht="14.25" customHeight="1">
      <c r="B217" s="368"/>
      <c r="C217" s="368"/>
      <c r="D217" s="369" t="s">
        <v>676</v>
      </c>
      <c r="E217" s="369"/>
      <c r="F217" s="369"/>
      <c r="G217" s="369" t="s">
        <v>677</v>
      </c>
      <c r="H217" s="369"/>
      <c r="I217" s="369"/>
      <c r="J217" s="103" t="s">
        <v>624</v>
      </c>
      <c r="K217" s="116">
        <f>T216</f>
        <v>14</v>
      </c>
      <c r="L217" s="376">
        <v>2300</v>
      </c>
      <c r="M217" s="376"/>
      <c r="N217" s="372">
        <f>K217*L217</f>
        <v>32200</v>
      </c>
      <c r="O217" s="372"/>
      <c r="P217" s="96"/>
      <c r="Q217" s="96"/>
      <c r="R217" s="96"/>
      <c r="S217" s="96"/>
      <c r="T217" s="96"/>
      <c r="U217" s="96"/>
      <c r="V217" s="96"/>
      <c r="W217" s="96"/>
      <c r="X217" s="122"/>
    </row>
    <row r="218" spans="2:24" ht="14.25" customHeight="1">
      <c r="B218" s="369" t="s">
        <v>751</v>
      </c>
      <c r="C218" s="369"/>
      <c r="D218" s="338" t="s">
        <v>752</v>
      </c>
      <c r="E218" s="369"/>
      <c r="F218" s="369"/>
      <c r="G218" s="369"/>
      <c r="H218" s="369"/>
      <c r="I218" s="369"/>
      <c r="J218" s="103" t="s">
        <v>235</v>
      </c>
      <c r="K218" s="127">
        <v>1</v>
      </c>
      <c r="L218" s="382"/>
      <c r="M218" s="382"/>
      <c r="N218" s="372">
        <f>W218</f>
        <v>93750</v>
      </c>
      <c r="O218" s="372"/>
      <c r="P218" s="189">
        <f>'[1]基本 (2)'!D14</f>
        <v>20</v>
      </c>
      <c r="Q218" s="62" t="s">
        <v>753</v>
      </c>
      <c r="R218" s="190">
        <v>0.02</v>
      </c>
      <c r="S218" s="62" t="s">
        <v>754</v>
      </c>
      <c r="T218" s="191">
        <v>234375</v>
      </c>
      <c r="U218" s="62" t="s">
        <v>755</v>
      </c>
      <c r="V218" s="145" t="s">
        <v>671</v>
      </c>
      <c r="W218" s="137">
        <f>ROUND(P218*R218*T218,0)</f>
        <v>93750</v>
      </c>
      <c r="X218" s="166" t="s">
        <v>756</v>
      </c>
    </row>
    <row r="219" spans="2:24" ht="14.25" customHeight="1">
      <c r="B219" s="369" t="s">
        <v>678</v>
      </c>
      <c r="C219" s="369"/>
      <c r="D219" s="369"/>
      <c r="E219" s="369"/>
      <c r="F219" s="369"/>
      <c r="G219" s="369"/>
      <c r="H219" s="369"/>
      <c r="I219" s="369"/>
      <c r="J219" s="103" t="s">
        <v>624</v>
      </c>
      <c r="K219" s="127">
        <v>1</v>
      </c>
      <c r="L219" s="382"/>
      <c r="M219" s="382"/>
      <c r="N219" s="372">
        <f>(N211+N212+N213)*(R219/100)</f>
        <v>122584</v>
      </c>
      <c r="O219" s="372"/>
      <c r="P219" s="138" t="s">
        <v>615</v>
      </c>
      <c r="Q219" s="138" t="s">
        <v>17</v>
      </c>
      <c r="R219" s="138">
        <v>11</v>
      </c>
      <c r="S219" s="96" t="s">
        <v>680</v>
      </c>
      <c r="T219" s="96"/>
      <c r="U219" s="96"/>
      <c r="V219" s="96"/>
      <c r="W219" s="96"/>
      <c r="X219" s="122"/>
    </row>
    <row r="220" spans="2:24" ht="14.25" customHeight="1">
      <c r="B220" s="369"/>
      <c r="C220" s="369"/>
      <c r="D220" s="369" t="s">
        <v>237</v>
      </c>
      <c r="E220" s="369"/>
      <c r="F220" s="369"/>
      <c r="G220" s="369"/>
      <c r="H220" s="369"/>
      <c r="I220" s="369"/>
      <c r="J220" s="103"/>
      <c r="K220" s="104">
        <f>'[1]基本 (2)'!D14</f>
        <v>20</v>
      </c>
      <c r="L220" s="370">
        <f>INT(Cel工事_沓据付工_金額計 / Cel工事_沓据付工_数量計)</f>
        <v>96307</v>
      </c>
      <c r="M220" s="371"/>
      <c r="N220" s="372">
        <f>SUM(N211:O219)</f>
        <v>1926154</v>
      </c>
      <c r="O220" s="372"/>
      <c r="P220" s="135"/>
      <c r="Q220" s="135"/>
      <c r="R220" s="135"/>
      <c r="S220" s="135"/>
      <c r="T220" s="135"/>
      <c r="U220" s="135"/>
      <c r="V220" s="135"/>
      <c r="W220" s="135"/>
      <c r="X220" s="115"/>
    </row>
    <row r="221" spans="2:24" ht="14.25" customHeight="1"/>
    <row r="222" spans="2:24" ht="14.25" customHeight="1"/>
    <row r="223" spans="2:24" ht="14.25" customHeight="1">
      <c r="B223" s="99" t="s">
        <v>757</v>
      </c>
      <c r="V223" s="112"/>
    </row>
    <row r="224" spans="2:24" ht="14.25" customHeight="1">
      <c r="B224" s="369" t="s">
        <v>566</v>
      </c>
      <c r="C224" s="369"/>
      <c r="D224" s="338" t="s">
        <v>567</v>
      </c>
      <c r="E224" s="369"/>
      <c r="F224" s="369"/>
      <c r="G224" s="369" t="s">
        <v>611</v>
      </c>
      <c r="H224" s="369"/>
      <c r="I224" s="369"/>
      <c r="J224" s="103" t="s">
        <v>568</v>
      </c>
      <c r="K224" s="103" t="s">
        <v>569</v>
      </c>
      <c r="L224" s="369" t="s">
        <v>612</v>
      </c>
      <c r="M224" s="369"/>
      <c r="N224" s="369" t="s">
        <v>613</v>
      </c>
      <c r="O224" s="369"/>
      <c r="P224" s="369" t="s">
        <v>614</v>
      </c>
      <c r="Q224" s="369"/>
      <c r="R224" s="369"/>
      <c r="S224" s="369"/>
      <c r="T224" s="369"/>
      <c r="U224" s="369"/>
      <c r="V224" s="369"/>
      <c r="W224" s="369"/>
      <c r="X224" s="369"/>
    </row>
    <row r="225" spans="2:24" ht="14.25" customHeight="1">
      <c r="B225" s="379" t="s">
        <v>615</v>
      </c>
      <c r="C225" s="379"/>
      <c r="D225" s="369" t="s">
        <v>616</v>
      </c>
      <c r="E225" s="369"/>
      <c r="F225" s="369"/>
      <c r="G225" s="113" t="s">
        <v>617</v>
      </c>
      <c r="H225" s="114">
        <v>1</v>
      </c>
      <c r="I225" s="115" t="s">
        <v>618</v>
      </c>
      <c r="J225" s="103" t="s">
        <v>619</v>
      </c>
      <c r="K225" s="116">
        <f>H225*R225</f>
        <v>8.1</v>
      </c>
      <c r="L225" s="383">
        <f>L141</f>
        <v>33710</v>
      </c>
      <c r="M225" s="383"/>
      <c r="N225" s="372">
        <f>K225*L225</f>
        <v>273051</v>
      </c>
      <c r="O225" s="372"/>
      <c r="P225" s="384" t="s">
        <v>669</v>
      </c>
      <c r="Q225" s="384"/>
      <c r="R225" s="117">
        <f>'[1]日数 (2)'!D320</f>
        <v>8.1</v>
      </c>
      <c r="S225" s="118" t="s">
        <v>118</v>
      </c>
      <c r="T225" s="118"/>
      <c r="U225" s="118"/>
      <c r="V225" s="118"/>
      <c r="W225" s="118"/>
      <c r="X225" s="120"/>
    </row>
    <row r="226" spans="2:24" ht="14.25" customHeight="1">
      <c r="B226" s="385"/>
      <c r="C226" s="385"/>
      <c r="D226" s="369" t="s">
        <v>623</v>
      </c>
      <c r="E226" s="369"/>
      <c r="F226" s="369"/>
      <c r="G226" s="113" t="s">
        <v>617</v>
      </c>
      <c r="H226" s="114">
        <v>5</v>
      </c>
      <c r="I226" s="115" t="s">
        <v>618</v>
      </c>
      <c r="J226" s="103" t="s">
        <v>624</v>
      </c>
      <c r="K226" s="116">
        <f>H226*R225</f>
        <v>40.5</v>
      </c>
      <c r="L226" s="383">
        <f>L142</f>
        <v>28930</v>
      </c>
      <c r="M226" s="383"/>
      <c r="N226" s="372">
        <f>K226*L226</f>
        <v>1171665</v>
      </c>
      <c r="O226" s="372"/>
      <c r="P226" s="96"/>
      <c r="Q226" s="96"/>
      <c r="R226" s="96"/>
      <c r="S226" s="96"/>
      <c r="T226" s="96"/>
      <c r="U226" s="96"/>
      <c r="V226" s="96"/>
      <c r="W226" s="96"/>
      <c r="X226" s="122"/>
    </row>
    <row r="227" spans="2:24" ht="14.25" customHeight="1">
      <c r="B227" s="368"/>
      <c r="C227" s="368"/>
      <c r="D227" s="369" t="s">
        <v>625</v>
      </c>
      <c r="E227" s="369"/>
      <c r="F227" s="369"/>
      <c r="G227" s="113" t="s">
        <v>617</v>
      </c>
      <c r="H227" s="114"/>
      <c r="I227" s="115" t="s">
        <v>618</v>
      </c>
      <c r="J227" s="103" t="s">
        <v>624</v>
      </c>
      <c r="K227" s="116">
        <f>H227*R225</f>
        <v>0</v>
      </c>
      <c r="L227" s="383">
        <f>L143</f>
        <v>18800</v>
      </c>
      <c r="M227" s="383"/>
      <c r="N227" s="372">
        <f>K227*L227</f>
        <v>0</v>
      </c>
      <c r="O227" s="372"/>
      <c r="P227" s="96"/>
      <c r="Q227" s="96"/>
      <c r="R227" s="96"/>
      <c r="S227" s="96"/>
      <c r="T227" s="96"/>
      <c r="U227" s="96"/>
      <c r="V227" s="96"/>
      <c r="W227" s="96"/>
      <c r="X227" s="122"/>
    </row>
    <row r="228" spans="2:24" ht="14.25" customHeight="1">
      <c r="B228" s="379" t="s">
        <v>626</v>
      </c>
      <c r="C228" s="379"/>
      <c r="D228" s="369" t="s">
        <v>674</v>
      </c>
      <c r="E228" s="369"/>
      <c r="F228" s="369"/>
      <c r="G228" s="369"/>
      <c r="H228" s="369"/>
      <c r="I228" s="369"/>
      <c r="J228" s="103" t="s">
        <v>624</v>
      </c>
      <c r="K228" s="116">
        <f>T228</f>
        <v>14</v>
      </c>
      <c r="L228" s="376">
        <v>9830</v>
      </c>
      <c r="M228" s="376"/>
      <c r="N228" s="372">
        <f>K228*L228</f>
        <v>137620</v>
      </c>
      <c r="O228" s="372"/>
      <c r="P228" s="128">
        <f>R225</f>
        <v>8.1</v>
      </c>
      <c r="Q228" s="62" t="s">
        <v>635</v>
      </c>
      <c r="R228" s="138">
        <v>1.7</v>
      </c>
      <c r="S228" s="62" t="s">
        <v>671</v>
      </c>
      <c r="T228" s="130">
        <f>ROUND(P228*R228,0)</f>
        <v>14</v>
      </c>
      <c r="U228" s="60" t="s">
        <v>675</v>
      </c>
      <c r="V228" s="96"/>
      <c r="W228" s="96"/>
      <c r="X228" s="122"/>
    </row>
    <row r="229" spans="2:24" ht="14.25" customHeight="1">
      <c r="B229" s="368"/>
      <c r="C229" s="368"/>
      <c r="D229" s="369" t="s">
        <v>676</v>
      </c>
      <c r="E229" s="369"/>
      <c r="F229" s="369"/>
      <c r="G229" s="369" t="s">
        <v>758</v>
      </c>
      <c r="H229" s="369"/>
      <c r="I229" s="369"/>
      <c r="J229" s="103" t="s">
        <v>624</v>
      </c>
      <c r="K229" s="116">
        <f>T228</f>
        <v>14</v>
      </c>
      <c r="L229" s="376">
        <v>2300</v>
      </c>
      <c r="M229" s="376"/>
      <c r="N229" s="372">
        <f>K229*L229</f>
        <v>32200</v>
      </c>
      <c r="O229" s="372"/>
      <c r="P229" s="96"/>
      <c r="Q229" s="96"/>
      <c r="R229" s="96"/>
      <c r="S229" s="96"/>
      <c r="T229" s="96"/>
      <c r="U229" s="96"/>
      <c r="V229" s="96"/>
      <c r="W229" s="96"/>
      <c r="X229" s="122"/>
    </row>
    <row r="230" spans="2:24" ht="14.25" customHeight="1">
      <c r="B230" s="369" t="s">
        <v>678</v>
      </c>
      <c r="C230" s="369"/>
      <c r="D230" s="369"/>
      <c r="E230" s="369"/>
      <c r="F230" s="369"/>
      <c r="G230" s="369"/>
      <c r="H230" s="369"/>
      <c r="I230" s="369"/>
      <c r="J230" s="103" t="s">
        <v>624</v>
      </c>
      <c r="K230" s="127">
        <v>1</v>
      </c>
      <c r="L230" s="382"/>
      <c r="M230" s="382"/>
      <c r="N230" s="372">
        <f>(N225+N226+N227)*(R230/100)</f>
        <v>57788.639999999999</v>
      </c>
      <c r="O230" s="372"/>
      <c r="P230" s="138" t="s">
        <v>615</v>
      </c>
      <c r="Q230" s="138" t="s">
        <v>17</v>
      </c>
      <c r="R230" s="138">
        <v>4</v>
      </c>
      <c r="S230" s="96" t="s">
        <v>680</v>
      </c>
      <c r="T230" s="96"/>
      <c r="U230" s="96"/>
      <c r="V230" s="96"/>
      <c r="W230" s="96"/>
      <c r="X230" s="122"/>
    </row>
    <row r="231" spans="2:24" ht="14.25" customHeight="1">
      <c r="B231" s="369"/>
      <c r="C231" s="369"/>
      <c r="D231" s="369" t="s">
        <v>237</v>
      </c>
      <c r="E231" s="369"/>
      <c r="F231" s="369"/>
      <c r="G231" s="369"/>
      <c r="H231" s="369"/>
      <c r="I231" s="369"/>
      <c r="J231" s="103"/>
      <c r="K231" s="104">
        <f>IF('[1]基本 (2)'!D40="本",'[1]基本 (2)'!C40,'[1]基本 (2)'!I40)</f>
        <v>13490</v>
      </c>
      <c r="L231" s="370">
        <f>INT(Cel工事_高力ボルト本締工_金額計 / Cel工事_高力ボルト本締工_数量計)</f>
        <v>123</v>
      </c>
      <c r="M231" s="371"/>
      <c r="N231" s="372">
        <f>SUM(N225:O230)</f>
        <v>1672324.64</v>
      </c>
      <c r="O231" s="372"/>
      <c r="P231" s="135"/>
      <c r="Q231" s="135"/>
      <c r="R231" s="135"/>
      <c r="S231" s="135"/>
      <c r="T231" s="135"/>
      <c r="U231" s="135"/>
      <c r="V231" s="135"/>
      <c r="W231" s="135"/>
      <c r="X231" s="115"/>
    </row>
    <row r="232" spans="2:24" ht="14.25" customHeight="1"/>
    <row r="233" spans="2:24" ht="14.25" customHeight="1"/>
    <row r="234" spans="2:24" ht="14.25" customHeight="1">
      <c r="B234" s="99" t="s">
        <v>759</v>
      </c>
      <c r="V234" s="112"/>
    </row>
    <row r="235" spans="2:24" ht="14.25" customHeight="1">
      <c r="B235" s="369" t="s">
        <v>566</v>
      </c>
      <c r="C235" s="369"/>
      <c r="D235" s="338" t="s">
        <v>567</v>
      </c>
      <c r="E235" s="369"/>
      <c r="F235" s="369"/>
      <c r="G235" s="369" t="s">
        <v>611</v>
      </c>
      <c r="H235" s="369"/>
      <c r="I235" s="369"/>
      <c r="J235" s="103" t="s">
        <v>568</v>
      </c>
      <c r="K235" s="103" t="s">
        <v>569</v>
      </c>
      <c r="L235" s="369" t="s">
        <v>612</v>
      </c>
      <c r="M235" s="369"/>
      <c r="N235" s="369" t="s">
        <v>613</v>
      </c>
      <c r="O235" s="369"/>
      <c r="P235" s="369" t="s">
        <v>614</v>
      </c>
      <c r="Q235" s="369"/>
      <c r="R235" s="369"/>
      <c r="S235" s="369"/>
      <c r="T235" s="369"/>
      <c r="U235" s="369"/>
      <c r="V235" s="369"/>
      <c r="W235" s="369"/>
      <c r="X235" s="369"/>
    </row>
    <row r="236" spans="2:24" ht="14.25" customHeight="1">
      <c r="B236" s="379" t="s">
        <v>615</v>
      </c>
      <c r="C236" s="379"/>
      <c r="D236" s="369" t="s">
        <v>616</v>
      </c>
      <c r="E236" s="369"/>
      <c r="F236" s="369"/>
      <c r="G236" s="113" t="s">
        <v>617</v>
      </c>
      <c r="H236" s="114">
        <v>1</v>
      </c>
      <c r="I236" s="115" t="s">
        <v>618</v>
      </c>
      <c r="J236" s="103" t="s">
        <v>619</v>
      </c>
      <c r="K236" s="116">
        <f>H236*R236</f>
        <v>2.5</v>
      </c>
      <c r="L236" s="383">
        <f>L141</f>
        <v>33710</v>
      </c>
      <c r="M236" s="383"/>
      <c r="N236" s="372">
        <f t="shared" ref="N236:N241" si="4">K236*L236</f>
        <v>84275</v>
      </c>
      <c r="O236" s="372"/>
      <c r="P236" s="384" t="s">
        <v>669</v>
      </c>
      <c r="Q236" s="384"/>
      <c r="R236" s="117">
        <f>'[1]日数 (2)'!D337</f>
        <v>2.5</v>
      </c>
      <c r="S236" s="118" t="s">
        <v>118</v>
      </c>
      <c r="T236" s="118"/>
      <c r="U236" s="118"/>
      <c r="V236" s="118"/>
      <c r="W236" s="118"/>
      <c r="X236" s="120"/>
    </row>
    <row r="237" spans="2:24" ht="14.25" customHeight="1">
      <c r="B237" s="385"/>
      <c r="C237" s="385"/>
      <c r="D237" s="369" t="s">
        <v>623</v>
      </c>
      <c r="E237" s="369"/>
      <c r="F237" s="369"/>
      <c r="G237" s="113" t="s">
        <v>617</v>
      </c>
      <c r="H237" s="114">
        <v>3</v>
      </c>
      <c r="I237" s="115" t="s">
        <v>618</v>
      </c>
      <c r="J237" s="103" t="s">
        <v>624</v>
      </c>
      <c r="K237" s="116">
        <f>H237*R236</f>
        <v>7.5</v>
      </c>
      <c r="L237" s="383">
        <f>L142</f>
        <v>28930</v>
      </c>
      <c r="M237" s="383"/>
      <c r="N237" s="372">
        <f t="shared" si="4"/>
        <v>216975</v>
      </c>
      <c r="O237" s="372"/>
      <c r="P237" s="96"/>
      <c r="Q237" s="96"/>
      <c r="R237" s="96"/>
      <c r="S237" s="96"/>
      <c r="T237" s="96"/>
      <c r="U237" s="96"/>
      <c r="V237" s="96"/>
      <c r="W237" s="96"/>
      <c r="X237" s="122"/>
    </row>
    <row r="238" spans="2:24" ht="14.25" customHeight="1">
      <c r="B238" s="368"/>
      <c r="C238" s="368"/>
      <c r="D238" s="369" t="s">
        <v>625</v>
      </c>
      <c r="E238" s="369"/>
      <c r="F238" s="369"/>
      <c r="G238" s="113" t="s">
        <v>617</v>
      </c>
      <c r="H238" s="114"/>
      <c r="I238" s="115" t="s">
        <v>618</v>
      </c>
      <c r="J238" s="103" t="s">
        <v>624</v>
      </c>
      <c r="K238" s="116">
        <f>H238*R236</f>
        <v>0</v>
      </c>
      <c r="L238" s="383">
        <f>L143</f>
        <v>18800</v>
      </c>
      <c r="M238" s="383"/>
      <c r="N238" s="372">
        <f t="shared" si="4"/>
        <v>0</v>
      </c>
      <c r="O238" s="372"/>
      <c r="P238" s="96"/>
      <c r="Q238" s="96"/>
      <c r="R238" s="96"/>
      <c r="S238" s="96"/>
      <c r="T238" s="96"/>
      <c r="U238" s="96"/>
      <c r="V238" s="96"/>
      <c r="W238" s="96"/>
      <c r="X238" s="122"/>
    </row>
    <row r="239" spans="2:24" ht="14.25" customHeight="1">
      <c r="B239" s="379" t="s">
        <v>626</v>
      </c>
      <c r="C239" s="379"/>
      <c r="D239" s="369" t="s">
        <v>674</v>
      </c>
      <c r="E239" s="369"/>
      <c r="F239" s="369"/>
      <c r="G239" s="424"/>
      <c r="H239" s="413"/>
      <c r="I239" s="425"/>
      <c r="J239" s="103" t="s">
        <v>118</v>
      </c>
      <c r="K239" s="116">
        <f>T239</f>
        <v>4</v>
      </c>
      <c r="L239" s="376">
        <v>9830</v>
      </c>
      <c r="M239" s="376"/>
      <c r="N239" s="372">
        <f t="shared" si="4"/>
        <v>39320</v>
      </c>
      <c r="O239" s="372"/>
      <c r="P239" s="128">
        <f>R236</f>
        <v>2.5</v>
      </c>
      <c r="Q239" s="62" t="s">
        <v>635</v>
      </c>
      <c r="R239" s="138">
        <v>1.7</v>
      </c>
      <c r="S239" s="62" t="s">
        <v>671</v>
      </c>
      <c r="T239" s="130">
        <f>ROUND(P239*R239,0)</f>
        <v>4</v>
      </c>
      <c r="U239" s="60" t="s">
        <v>675</v>
      </c>
      <c r="V239" s="96"/>
      <c r="W239" s="96"/>
      <c r="X239" s="122"/>
    </row>
    <row r="240" spans="2:24" ht="14.25" hidden="1" customHeight="1">
      <c r="B240" s="385"/>
      <c r="C240" s="385"/>
      <c r="D240" s="369" t="s">
        <v>676</v>
      </c>
      <c r="E240" s="369"/>
      <c r="F240" s="369"/>
      <c r="G240" s="424" t="s">
        <v>677</v>
      </c>
      <c r="H240" s="413"/>
      <c r="I240" s="425"/>
      <c r="J240" s="103" t="s">
        <v>624</v>
      </c>
      <c r="K240" s="116">
        <v>0</v>
      </c>
      <c r="L240" s="376">
        <v>2300</v>
      </c>
      <c r="M240" s="376"/>
      <c r="N240" s="372">
        <f t="shared" si="4"/>
        <v>0</v>
      </c>
      <c r="O240" s="372"/>
      <c r="P240" s="96"/>
      <c r="Q240" s="96"/>
      <c r="R240" s="96"/>
      <c r="S240" s="96"/>
      <c r="T240" s="96"/>
      <c r="U240" s="96"/>
      <c r="V240" s="96"/>
      <c r="W240" s="96"/>
      <c r="X240" s="122"/>
    </row>
    <row r="241" spans="2:24" ht="14.25" customHeight="1">
      <c r="B241" s="385"/>
      <c r="C241" s="385"/>
      <c r="D241" s="386" t="s">
        <v>627</v>
      </c>
      <c r="E241" s="387"/>
      <c r="F241" s="387"/>
      <c r="G241" s="426" t="s">
        <v>760</v>
      </c>
      <c r="H241" s="427"/>
      <c r="I241" s="428"/>
      <c r="J241" s="123" t="s">
        <v>624</v>
      </c>
      <c r="K241" s="124">
        <f>ROUND(R236,0)</f>
        <v>3</v>
      </c>
      <c r="L241" s="391">
        <f>VLOOKUP("全国平均",[1]クレーン単価!A1:N57,3,FALSE)</f>
        <v>49000</v>
      </c>
      <c r="M241" s="391"/>
      <c r="N241" s="392">
        <f t="shared" si="4"/>
        <v>147000</v>
      </c>
      <c r="O241" s="392"/>
      <c r="P241" s="96"/>
      <c r="Q241" s="96"/>
      <c r="R241" s="96"/>
      <c r="S241" s="96"/>
      <c r="T241" s="96"/>
      <c r="U241" s="96"/>
      <c r="V241" s="96"/>
      <c r="W241" s="96"/>
      <c r="X241" s="122"/>
    </row>
    <row r="242" spans="2:24" ht="14.25" customHeight="1">
      <c r="B242" s="368"/>
      <c r="C242" s="368"/>
      <c r="D242" s="368"/>
      <c r="E242" s="368"/>
      <c r="F242" s="368"/>
      <c r="G242" s="377" t="s">
        <v>629</v>
      </c>
      <c r="H242" s="429"/>
      <c r="I242" s="378"/>
      <c r="J242" s="125"/>
      <c r="K242" s="126"/>
      <c r="L242" s="395"/>
      <c r="M242" s="395"/>
      <c r="N242" s="396"/>
      <c r="O242" s="396"/>
      <c r="P242" s="96"/>
      <c r="Q242" s="96"/>
      <c r="R242" s="96"/>
      <c r="S242" s="96"/>
      <c r="T242" s="96"/>
      <c r="U242" s="96"/>
      <c r="V242" s="96"/>
      <c r="W242" s="96"/>
      <c r="X242" s="122"/>
    </row>
    <row r="243" spans="2:24" ht="14.25" customHeight="1">
      <c r="B243" s="369"/>
      <c r="C243" s="369"/>
      <c r="D243" s="369" t="s">
        <v>237</v>
      </c>
      <c r="E243" s="369"/>
      <c r="F243" s="369"/>
      <c r="G243" s="424"/>
      <c r="H243" s="413"/>
      <c r="I243" s="425"/>
      <c r="J243" s="103"/>
      <c r="K243" s="104">
        <f>'[1]基本 (2)'!G34</f>
        <v>10</v>
      </c>
      <c r="L243" s="370">
        <f>INT(Cel工事_落橋防止装置工_金額計 / Cel工事_落橋防止装置工_数量計)</f>
        <v>48757</v>
      </c>
      <c r="M243" s="371"/>
      <c r="N243" s="372">
        <f>SUM(N236:O242)</f>
        <v>487570</v>
      </c>
      <c r="O243" s="372"/>
      <c r="P243" s="135"/>
      <c r="Q243" s="135"/>
      <c r="R243" s="135"/>
      <c r="S243" s="135"/>
      <c r="T243" s="135"/>
      <c r="U243" s="135"/>
      <c r="V243" s="135"/>
      <c r="W243" s="135"/>
      <c r="X243" s="115"/>
    </row>
    <row r="244" spans="2:24" ht="14.25" customHeight="1"/>
    <row r="245" spans="2:24" ht="14.25" customHeight="1"/>
    <row r="246" spans="2:24" ht="14.25" customHeight="1">
      <c r="B246" s="99" t="s">
        <v>761</v>
      </c>
      <c r="V246" s="112"/>
    </row>
    <row r="247" spans="2:24" ht="14.25" customHeight="1">
      <c r="B247" s="369" t="s">
        <v>566</v>
      </c>
      <c r="C247" s="369"/>
      <c r="D247" s="338" t="s">
        <v>567</v>
      </c>
      <c r="E247" s="369"/>
      <c r="F247" s="369"/>
      <c r="G247" s="369" t="s">
        <v>611</v>
      </c>
      <c r="H247" s="369"/>
      <c r="I247" s="369"/>
      <c r="J247" s="103" t="s">
        <v>568</v>
      </c>
      <c r="K247" s="103" t="s">
        <v>569</v>
      </c>
      <c r="L247" s="369" t="s">
        <v>612</v>
      </c>
      <c r="M247" s="369"/>
      <c r="N247" s="369" t="s">
        <v>613</v>
      </c>
      <c r="O247" s="369"/>
      <c r="P247" s="369" t="s">
        <v>614</v>
      </c>
      <c r="Q247" s="369"/>
      <c r="R247" s="369"/>
      <c r="S247" s="369"/>
      <c r="T247" s="369"/>
      <c r="U247" s="369"/>
      <c r="V247" s="369"/>
      <c r="W247" s="369"/>
      <c r="X247" s="369"/>
    </row>
    <row r="248" spans="2:24" ht="14.25" customHeight="1">
      <c r="B248" s="385"/>
      <c r="C248" s="385"/>
      <c r="D248" s="424" t="s">
        <v>105</v>
      </c>
      <c r="E248" s="413"/>
      <c r="F248" s="425"/>
      <c r="G248" s="369"/>
      <c r="H248" s="369"/>
      <c r="I248" s="369"/>
      <c r="J248" s="153" t="s">
        <v>762</v>
      </c>
      <c r="K248" s="157">
        <f>'[1]日数 (2)'!M354</f>
        <v>1547</v>
      </c>
      <c r="L248" s="419" t="s">
        <v>763</v>
      </c>
      <c r="M248" s="420"/>
      <c r="N248" s="381"/>
      <c r="O248" s="371"/>
      <c r="P248" s="138"/>
      <c r="Q248" s="138"/>
      <c r="R248" s="138"/>
      <c r="S248" s="138"/>
      <c r="T248" s="138"/>
      <c r="U248" s="138"/>
      <c r="V248" s="138"/>
      <c r="W248" s="138"/>
      <c r="X248" s="192"/>
    </row>
    <row r="249" spans="2:24" ht="14.25" customHeight="1">
      <c r="B249" s="385"/>
      <c r="C249" s="385"/>
      <c r="D249" s="407" t="s">
        <v>554</v>
      </c>
      <c r="E249" s="379"/>
      <c r="F249" s="379"/>
      <c r="G249" s="415" t="s">
        <v>764</v>
      </c>
      <c r="H249" s="416"/>
      <c r="I249" s="417"/>
      <c r="J249" s="153" t="s">
        <v>765</v>
      </c>
      <c r="K249" s="157">
        <f>K248</f>
        <v>1547</v>
      </c>
      <c r="L249" s="383">
        <f>O268</f>
        <v>1418</v>
      </c>
      <c r="M249" s="383"/>
      <c r="N249" s="370">
        <f>K249*L249</f>
        <v>2193646</v>
      </c>
      <c r="O249" s="418"/>
      <c r="P249" s="60" t="s">
        <v>689</v>
      </c>
      <c r="Q249" s="138"/>
      <c r="R249" s="138"/>
      <c r="S249" s="138"/>
      <c r="T249" s="138"/>
      <c r="U249" s="138"/>
      <c r="V249" s="138"/>
      <c r="W249" s="138"/>
      <c r="X249" s="192"/>
    </row>
    <row r="250" spans="2:24" ht="14.25" customHeight="1">
      <c r="B250" s="385"/>
      <c r="C250" s="385"/>
      <c r="D250" s="402"/>
      <c r="E250" s="385"/>
      <c r="F250" s="385"/>
      <c r="G250" s="415" t="s">
        <v>766</v>
      </c>
      <c r="H250" s="416"/>
      <c r="I250" s="417"/>
      <c r="J250" s="153" t="s">
        <v>767</v>
      </c>
      <c r="K250" s="157">
        <f>K248</f>
        <v>1547</v>
      </c>
      <c r="L250" s="383">
        <f>O269</f>
        <v>633</v>
      </c>
      <c r="M250" s="383"/>
      <c r="N250" s="370">
        <f>K250*L250</f>
        <v>979251</v>
      </c>
      <c r="O250" s="418"/>
      <c r="P250" s="60" t="s">
        <v>689</v>
      </c>
      <c r="Q250" s="138"/>
      <c r="R250" s="138"/>
      <c r="S250" s="138"/>
      <c r="T250" s="138"/>
      <c r="U250" s="138"/>
      <c r="V250" s="138"/>
      <c r="W250" s="138"/>
      <c r="X250" s="192"/>
    </row>
    <row r="251" spans="2:24" ht="14.25" customHeight="1">
      <c r="B251" s="385"/>
      <c r="C251" s="385"/>
      <c r="D251" s="380" t="s">
        <v>768</v>
      </c>
      <c r="E251" s="422"/>
      <c r="F251" s="423"/>
      <c r="G251" s="369"/>
      <c r="H251" s="369"/>
      <c r="I251" s="369"/>
      <c r="J251" s="153"/>
      <c r="K251" s="193"/>
      <c r="L251" s="382"/>
      <c r="M251" s="382"/>
      <c r="N251" s="370">
        <f>+N249+N250</f>
        <v>3172897</v>
      </c>
      <c r="O251" s="418"/>
      <c r="P251" s="60"/>
      <c r="Q251" s="96"/>
      <c r="R251" s="96"/>
      <c r="S251" s="96"/>
      <c r="T251" s="96"/>
      <c r="U251" s="96"/>
      <c r="V251" s="96"/>
      <c r="W251" s="96"/>
      <c r="X251" s="122"/>
    </row>
    <row r="252" spans="2:24" ht="14.25" customHeight="1">
      <c r="B252" s="385"/>
      <c r="C252" s="385"/>
      <c r="D252" s="407" t="s">
        <v>769</v>
      </c>
      <c r="E252" s="379"/>
      <c r="F252" s="379"/>
      <c r="G252" s="415" t="s">
        <v>764</v>
      </c>
      <c r="H252" s="416"/>
      <c r="I252" s="417"/>
      <c r="J252" s="153" t="s">
        <v>767</v>
      </c>
      <c r="K252" s="157">
        <f>Cel工事_足場工_数量_Ａ</f>
        <v>1547</v>
      </c>
      <c r="L252" s="383">
        <f>O271</f>
        <v>579</v>
      </c>
      <c r="M252" s="383"/>
      <c r="N252" s="370">
        <f>K252*L252</f>
        <v>895713</v>
      </c>
      <c r="O252" s="418"/>
      <c r="P252" s="60" t="s">
        <v>689</v>
      </c>
      <c r="Q252" s="96"/>
      <c r="R252" s="96"/>
      <c r="S252" s="96"/>
      <c r="T252" s="96"/>
      <c r="U252" s="96"/>
      <c r="V252" s="96"/>
      <c r="W252" s="96"/>
      <c r="X252" s="122"/>
    </row>
    <row r="253" spans="2:24" ht="14.25" customHeight="1">
      <c r="B253" s="385"/>
      <c r="C253" s="385"/>
      <c r="D253" s="402"/>
      <c r="E253" s="385"/>
      <c r="F253" s="385"/>
      <c r="G253" s="415" t="s">
        <v>766</v>
      </c>
      <c r="H253" s="416"/>
      <c r="I253" s="417"/>
      <c r="J253" s="153" t="s">
        <v>765</v>
      </c>
      <c r="K253" s="157">
        <f>Cel工事_足場工_数量_Ａ</f>
        <v>1547</v>
      </c>
      <c r="L253" s="383">
        <f>O272</f>
        <v>434</v>
      </c>
      <c r="M253" s="383"/>
      <c r="N253" s="370">
        <f>K253*L253</f>
        <v>671398</v>
      </c>
      <c r="O253" s="418"/>
      <c r="P253" s="60" t="s">
        <v>689</v>
      </c>
      <c r="Q253" s="96"/>
      <c r="R253" s="96"/>
      <c r="S253" s="96"/>
      <c r="T253" s="96"/>
      <c r="U253" s="96"/>
      <c r="V253" s="96"/>
      <c r="W253" s="96"/>
      <c r="X253" s="122"/>
    </row>
    <row r="254" spans="2:24" ht="14.25" customHeight="1">
      <c r="B254" s="385"/>
      <c r="C254" s="385"/>
      <c r="D254" s="402" t="s">
        <v>768</v>
      </c>
      <c r="E254" s="385"/>
      <c r="F254" s="385"/>
      <c r="G254" s="369"/>
      <c r="H254" s="369"/>
      <c r="I254" s="369"/>
      <c r="J254" s="153"/>
      <c r="K254" s="193"/>
      <c r="L254" s="382"/>
      <c r="M254" s="382"/>
      <c r="N254" s="370">
        <f>+N252+N253</f>
        <v>1567111</v>
      </c>
      <c r="O254" s="418"/>
      <c r="P254" s="60"/>
      <c r="Q254" s="96"/>
      <c r="R254" s="96"/>
      <c r="S254" s="96"/>
      <c r="T254" s="96"/>
      <c r="U254" s="96"/>
      <c r="V254" s="96"/>
      <c r="W254" s="96"/>
      <c r="X254" s="122"/>
    </row>
    <row r="255" spans="2:24" ht="14.25" customHeight="1">
      <c r="B255" s="385"/>
      <c r="C255" s="385"/>
      <c r="D255" s="407" t="s">
        <v>770</v>
      </c>
      <c r="E255" s="379"/>
      <c r="F255" s="379"/>
      <c r="G255" s="415" t="s">
        <v>764</v>
      </c>
      <c r="H255" s="416"/>
      <c r="I255" s="417"/>
      <c r="J255" s="153" t="s">
        <v>767</v>
      </c>
      <c r="K255" s="157">
        <f>K248</f>
        <v>1547</v>
      </c>
      <c r="L255" s="383">
        <f>O274</f>
        <v>376</v>
      </c>
      <c r="M255" s="383"/>
      <c r="N255" s="370">
        <f>K255*L255</f>
        <v>581672</v>
      </c>
      <c r="O255" s="418"/>
      <c r="P255" s="60" t="s">
        <v>689</v>
      </c>
      <c r="Q255" s="96"/>
      <c r="R255" s="96"/>
      <c r="S255" s="96"/>
      <c r="T255" s="96"/>
      <c r="U255" s="96"/>
      <c r="V255" s="96"/>
      <c r="W255" s="96"/>
      <c r="X255" s="122"/>
    </row>
    <row r="256" spans="2:24" ht="14.25" customHeight="1">
      <c r="B256" s="385"/>
      <c r="C256" s="385"/>
      <c r="D256" s="402"/>
      <c r="E256" s="385"/>
      <c r="F256" s="385"/>
      <c r="G256" s="415" t="s">
        <v>766</v>
      </c>
      <c r="H256" s="416"/>
      <c r="I256" s="417"/>
      <c r="J256" s="153" t="s">
        <v>767</v>
      </c>
      <c r="K256" s="157">
        <f>K248</f>
        <v>1547</v>
      </c>
      <c r="L256" s="383">
        <f>O275</f>
        <v>169</v>
      </c>
      <c r="M256" s="383"/>
      <c r="N256" s="370">
        <f>K256*L256</f>
        <v>261443</v>
      </c>
      <c r="O256" s="418"/>
      <c r="P256" s="60" t="s">
        <v>689</v>
      </c>
      <c r="Q256" s="96"/>
      <c r="R256" s="96"/>
      <c r="S256" s="96"/>
      <c r="T256" s="96"/>
      <c r="U256" s="96"/>
      <c r="V256" s="96"/>
      <c r="W256" s="96"/>
      <c r="X256" s="122"/>
    </row>
    <row r="257" spans="2:24" ht="14.25" customHeight="1">
      <c r="B257" s="385"/>
      <c r="C257" s="385"/>
      <c r="D257" s="402" t="s">
        <v>768</v>
      </c>
      <c r="E257" s="385"/>
      <c r="F257" s="385"/>
      <c r="G257" s="369"/>
      <c r="H257" s="369"/>
      <c r="I257" s="369"/>
      <c r="J257" s="153"/>
      <c r="K257" s="193"/>
      <c r="L257" s="382"/>
      <c r="M257" s="382"/>
      <c r="N257" s="370">
        <f>+N255+N256</f>
        <v>843115</v>
      </c>
      <c r="O257" s="418"/>
      <c r="P257" s="60"/>
      <c r="Q257" s="96"/>
      <c r="R257" s="96"/>
      <c r="S257" s="96"/>
      <c r="T257" s="96"/>
      <c r="U257" s="96"/>
      <c r="V257" s="96"/>
      <c r="W257" s="96"/>
      <c r="X257" s="122"/>
    </row>
    <row r="258" spans="2:24" ht="14.25" customHeight="1">
      <c r="B258" s="385"/>
      <c r="C258" s="385"/>
      <c r="D258" s="407" t="s">
        <v>771</v>
      </c>
      <c r="E258" s="379"/>
      <c r="F258" s="379"/>
      <c r="G258" s="415" t="s">
        <v>764</v>
      </c>
      <c r="H258" s="416"/>
      <c r="I258" s="417"/>
      <c r="J258" s="153" t="s">
        <v>767</v>
      </c>
      <c r="K258" s="157">
        <f>K248</f>
        <v>1547</v>
      </c>
      <c r="L258" s="383">
        <f>O277</f>
        <v>203</v>
      </c>
      <c r="M258" s="383"/>
      <c r="N258" s="370">
        <f>K258*L258</f>
        <v>314041</v>
      </c>
      <c r="O258" s="418"/>
      <c r="P258" s="60" t="s">
        <v>689</v>
      </c>
      <c r="Q258" s="96"/>
      <c r="R258" s="96"/>
      <c r="S258" s="96"/>
      <c r="T258" s="96"/>
      <c r="U258" s="96"/>
      <c r="V258" s="96"/>
      <c r="W258" s="96"/>
      <c r="X258" s="122"/>
    </row>
    <row r="259" spans="2:24" ht="14.25" customHeight="1">
      <c r="B259" s="385"/>
      <c r="C259" s="385"/>
      <c r="D259" s="402"/>
      <c r="E259" s="385"/>
      <c r="F259" s="385"/>
      <c r="G259" s="415" t="s">
        <v>766</v>
      </c>
      <c r="H259" s="416"/>
      <c r="I259" s="417"/>
      <c r="J259" s="153" t="s">
        <v>767</v>
      </c>
      <c r="K259" s="157">
        <f>K248</f>
        <v>1547</v>
      </c>
      <c r="L259" s="383">
        <f>O278</f>
        <v>370</v>
      </c>
      <c r="M259" s="383"/>
      <c r="N259" s="370">
        <f>K259*L259</f>
        <v>572390</v>
      </c>
      <c r="O259" s="418"/>
      <c r="P259" s="60" t="s">
        <v>689</v>
      </c>
      <c r="Q259" s="96"/>
      <c r="R259" s="96"/>
      <c r="S259" s="96"/>
      <c r="T259" s="96"/>
      <c r="U259" s="96"/>
      <c r="V259" s="96"/>
      <c r="W259" s="96"/>
      <c r="X259" s="122"/>
    </row>
    <row r="260" spans="2:24" ht="14.25" customHeight="1">
      <c r="B260" s="385"/>
      <c r="C260" s="385"/>
      <c r="D260" s="402" t="s">
        <v>768</v>
      </c>
      <c r="E260" s="385"/>
      <c r="F260" s="385"/>
      <c r="G260" s="369"/>
      <c r="H260" s="369"/>
      <c r="I260" s="369"/>
      <c r="J260" s="153"/>
      <c r="K260" s="193"/>
      <c r="L260" s="382"/>
      <c r="M260" s="382"/>
      <c r="N260" s="370">
        <f>+N258+N259</f>
        <v>886431</v>
      </c>
      <c r="O260" s="418"/>
      <c r="P260" s="60"/>
      <c r="Q260" s="96"/>
      <c r="R260" s="96"/>
      <c r="S260" s="96"/>
      <c r="T260" s="96"/>
      <c r="U260" s="96"/>
      <c r="V260" s="96"/>
      <c r="W260" s="96"/>
      <c r="X260" s="122"/>
    </row>
    <row r="261" spans="2:24" ht="14.25" customHeight="1">
      <c r="B261" s="385"/>
      <c r="C261" s="385"/>
      <c r="D261" s="407" t="s">
        <v>772</v>
      </c>
      <c r="E261" s="379"/>
      <c r="F261" s="379"/>
      <c r="G261" s="415" t="s">
        <v>773</v>
      </c>
      <c r="H261" s="416"/>
      <c r="I261" s="417"/>
      <c r="J261" s="153" t="s">
        <v>774</v>
      </c>
      <c r="K261" s="116">
        <f>'[1]日数 (2)'!E401</f>
        <v>29</v>
      </c>
      <c r="L261" s="419" t="s">
        <v>587</v>
      </c>
      <c r="M261" s="420"/>
      <c r="N261" s="421"/>
      <c r="O261" s="421"/>
      <c r="P261" s="60"/>
      <c r="Q261" s="96"/>
      <c r="R261" s="96"/>
      <c r="S261" s="96"/>
      <c r="T261" s="96"/>
      <c r="U261" s="96"/>
      <c r="V261" s="96"/>
      <c r="W261" s="96"/>
      <c r="X261" s="122"/>
    </row>
    <row r="262" spans="2:24" ht="14.25" customHeight="1">
      <c r="B262" s="385"/>
      <c r="C262" s="385"/>
      <c r="D262" s="402"/>
      <c r="E262" s="385"/>
      <c r="F262" s="385"/>
      <c r="G262" s="415" t="s">
        <v>764</v>
      </c>
      <c r="H262" s="416"/>
      <c r="I262" s="417"/>
      <c r="J262" s="103" t="s">
        <v>6</v>
      </c>
      <c r="K262" s="116">
        <f>K261</f>
        <v>29</v>
      </c>
      <c r="L262" s="383">
        <f>O280</f>
        <v>21235</v>
      </c>
      <c r="M262" s="383"/>
      <c r="N262" s="370">
        <f>K262*L262</f>
        <v>615815</v>
      </c>
      <c r="O262" s="418"/>
      <c r="P262" s="60" t="s">
        <v>689</v>
      </c>
      <c r="Q262" s="96"/>
      <c r="R262" s="96"/>
      <c r="S262" s="96"/>
      <c r="T262" s="96"/>
      <c r="U262" s="96"/>
      <c r="V262" s="96"/>
      <c r="W262" s="96"/>
      <c r="X262" s="122"/>
    </row>
    <row r="263" spans="2:24" ht="14.25" customHeight="1">
      <c r="B263" s="385"/>
      <c r="C263" s="385"/>
      <c r="D263" s="402"/>
      <c r="E263" s="385"/>
      <c r="F263" s="385"/>
      <c r="G263" s="415" t="s">
        <v>766</v>
      </c>
      <c r="H263" s="416"/>
      <c r="I263" s="417"/>
      <c r="J263" s="103" t="s">
        <v>6</v>
      </c>
      <c r="K263" s="116">
        <f>K261</f>
        <v>29</v>
      </c>
      <c r="L263" s="383">
        <f>O281</f>
        <v>21451</v>
      </c>
      <c r="M263" s="383"/>
      <c r="N263" s="370">
        <f>K263*L263</f>
        <v>622079</v>
      </c>
      <c r="O263" s="418"/>
      <c r="P263" s="60" t="s">
        <v>689</v>
      </c>
      <c r="Q263" s="96"/>
      <c r="R263" s="96"/>
      <c r="S263" s="96"/>
      <c r="T263" s="96"/>
      <c r="U263" s="96"/>
      <c r="V263" s="96"/>
      <c r="W263" s="96"/>
      <c r="X263" s="122"/>
    </row>
    <row r="264" spans="2:24" ht="14.25" customHeight="1">
      <c r="B264" s="368"/>
      <c r="C264" s="368"/>
      <c r="D264" s="402" t="s">
        <v>768</v>
      </c>
      <c r="E264" s="385"/>
      <c r="F264" s="385"/>
      <c r="G264" s="369"/>
      <c r="H264" s="369"/>
      <c r="I264" s="369"/>
      <c r="J264" s="103"/>
      <c r="K264" s="193"/>
      <c r="L264" s="382"/>
      <c r="M264" s="382"/>
      <c r="N264" s="370">
        <f>+N262+N263</f>
        <v>1237894</v>
      </c>
      <c r="O264" s="418"/>
      <c r="P264" s="60"/>
      <c r="Q264" s="96"/>
      <c r="R264" s="96"/>
      <c r="S264" s="96"/>
      <c r="T264" s="96"/>
      <c r="U264" s="96"/>
      <c r="V264" s="96"/>
      <c r="W264" s="96"/>
      <c r="X264" s="122"/>
    </row>
    <row r="265" spans="2:24" ht="14.25" customHeight="1">
      <c r="B265" s="369"/>
      <c r="C265" s="369"/>
      <c r="D265" s="369" t="s">
        <v>237</v>
      </c>
      <c r="E265" s="369"/>
      <c r="F265" s="369"/>
      <c r="G265" s="369"/>
      <c r="H265" s="369"/>
      <c r="I265" s="369"/>
      <c r="J265" s="414">
        <f>'[1]日数 (2)'!M354</f>
        <v>1547</v>
      </c>
      <c r="K265" s="369"/>
      <c r="L265" s="383">
        <f>INT(Cel工事_足場工_金額_計 / Cel工事_足場工_数量計)</f>
        <v>4982</v>
      </c>
      <c r="M265" s="382"/>
      <c r="N265" s="372">
        <f>SUM(N251,N254,N257,N260,N264)</f>
        <v>7707448</v>
      </c>
      <c r="O265" s="372"/>
      <c r="P265" s="135"/>
      <c r="Q265" s="135"/>
      <c r="R265" s="135"/>
      <c r="S265" s="135"/>
      <c r="T265" s="135"/>
      <c r="U265" s="135"/>
      <c r="V265" s="135"/>
      <c r="W265" s="135"/>
      <c r="X265" s="115"/>
    </row>
    <row r="266" spans="2:24" ht="14.25" customHeight="1">
      <c r="J266" s="412" t="s">
        <v>775</v>
      </c>
      <c r="K266" s="413"/>
      <c r="L266" s="413"/>
      <c r="M266" s="413"/>
      <c r="N266" s="372">
        <f>ROUND(N265/K248,-2)</f>
        <v>5000</v>
      </c>
      <c r="O266" s="372"/>
      <c r="P266" s="194" t="s">
        <v>776</v>
      </c>
      <c r="Q266" s="135"/>
      <c r="R266" s="135"/>
      <c r="S266" s="135"/>
      <c r="T266" s="135"/>
      <c r="U266" s="135"/>
      <c r="V266" s="135"/>
      <c r="W266" s="135"/>
      <c r="X266" s="115"/>
    </row>
    <row r="267" spans="2:24" ht="14.25" customHeight="1">
      <c r="C267" s="105" t="s">
        <v>777</v>
      </c>
    </row>
    <row r="268" spans="2:24" ht="14.25" customHeight="1">
      <c r="C268" s="195" t="s">
        <v>778</v>
      </c>
      <c r="D268" s="196" t="s">
        <v>779</v>
      </c>
      <c r="E268" s="197" t="s">
        <v>780</v>
      </c>
      <c r="F268" s="145"/>
      <c r="G268" s="145"/>
      <c r="H268" s="147" t="s">
        <v>781</v>
      </c>
      <c r="I268" s="198">
        <v>2.9000000000000001E-2</v>
      </c>
      <c r="J268" s="145" t="s">
        <v>782</v>
      </c>
      <c r="K268" s="198">
        <v>0.02</v>
      </c>
      <c r="L268" s="145" t="s">
        <v>783</v>
      </c>
      <c r="M268" s="199">
        <f>L237</f>
        <v>28930</v>
      </c>
      <c r="N268" s="145" t="s">
        <v>784</v>
      </c>
      <c r="O268" s="199">
        <f>ROUND((I268+K268)*M268,0)</f>
        <v>1418</v>
      </c>
      <c r="P268" s="105" t="s">
        <v>776</v>
      </c>
      <c r="Q268" s="102"/>
      <c r="R268" s="145"/>
      <c r="T268" s="105"/>
    </row>
    <row r="269" spans="2:24" ht="14.25" customHeight="1">
      <c r="C269" s="195" t="s">
        <v>785</v>
      </c>
      <c r="D269" s="196" t="s">
        <v>779</v>
      </c>
      <c r="E269" s="197" t="s">
        <v>786</v>
      </c>
      <c r="F269" s="102"/>
      <c r="G269" s="145"/>
      <c r="H269" s="147" t="s">
        <v>787</v>
      </c>
      <c r="I269" s="112">
        <v>201</v>
      </c>
      <c r="J269" s="147" t="s">
        <v>788</v>
      </c>
      <c r="K269" s="112">
        <v>108</v>
      </c>
      <c r="L269" s="145" t="s">
        <v>635</v>
      </c>
      <c r="M269" s="146">
        <f>'[1]基本 (2)'!D150</f>
        <v>4</v>
      </c>
      <c r="N269" s="145" t="s">
        <v>789</v>
      </c>
      <c r="O269" s="199">
        <f>ROUND(I269+(K269*M269),0)</f>
        <v>633</v>
      </c>
      <c r="P269" s="105" t="s">
        <v>776</v>
      </c>
    </row>
    <row r="270" spans="2:24" ht="14.25" customHeight="1">
      <c r="C270" s="105" t="s">
        <v>790</v>
      </c>
    </row>
    <row r="271" spans="2:24" ht="14.25" customHeight="1">
      <c r="C271" s="195" t="s">
        <v>778</v>
      </c>
      <c r="D271" s="196" t="s">
        <v>779</v>
      </c>
      <c r="E271" s="197" t="s">
        <v>791</v>
      </c>
      <c r="F271" s="145"/>
      <c r="G271" s="145"/>
      <c r="H271" s="147" t="s">
        <v>792</v>
      </c>
      <c r="I271" s="198">
        <v>1.2999999999999999E-2</v>
      </c>
      <c r="J271" s="145" t="s">
        <v>782</v>
      </c>
      <c r="K271" s="198">
        <v>7.0000000000000001E-3</v>
      </c>
      <c r="L271" s="145" t="s">
        <v>783</v>
      </c>
      <c r="M271" s="199">
        <f>L237</f>
        <v>28930</v>
      </c>
      <c r="N271" s="145" t="s">
        <v>793</v>
      </c>
      <c r="O271" s="199">
        <f>ROUND((I271+K271)*M271,0)</f>
        <v>579</v>
      </c>
      <c r="P271" s="105" t="s">
        <v>794</v>
      </c>
    </row>
    <row r="272" spans="2:24" ht="14.25" customHeight="1">
      <c r="C272" s="195" t="s">
        <v>785</v>
      </c>
      <c r="D272" s="196" t="s">
        <v>779</v>
      </c>
      <c r="E272" s="197" t="s">
        <v>795</v>
      </c>
      <c r="F272" s="102"/>
      <c r="G272" s="145"/>
      <c r="H272" s="147" t="s">
        <v>787</v>
      </c>
      <c r="I272" s="112">
        <v>126</v>
      </c>
      <c r="J272" s="147" t="s">
        <v>796</v>
      </c>
      <c r="K272" s="112">
        <v>77</v>
      </c>
      <c r="L272" s="145" t="s">
        <v>635</v>
      </c>
      <c r="M272" s="146">
        <f>M269</f>
        <v>4</v>
      </c>
      <c r="N272" s="145" t="s">
        <v>797</v>
      </c>
      <c r="O272" s="199">
        <f>ROUND(I272+(K272*M272),0)</f>
        <v>434</v>
      </c>
      <c r="P272" s="105" t="s">
        <v>776</v>
      </c>
    </row>
    <row r="273" spans="2:24" ht="14.25" customHeight="1">
      <c r="C273" s="105" t="s">
        <v>798</v>
      </c>
    </row>
    <row r="274" spans="2:24" ht="14.25" customHeight="1">
      <c r="C274" s="195" t="s">
        <v>778</v>
      </c>
      <c r="D274" s="196" t="s">
        <v>779</v>
      </c>
      <c r="E274" s="197" t="s">
        <v>791</v>
      </c>
      <c r="F274" s="145"/>
      <c r="G274" s="145"/>
      <c r="H274" s="147" t="s">
        <v>781</v>
      </c>
      <c r="I274" s="198">
        <v>8.0000000000000002E-3</v>
      </c>
      <c r="J274" s="145" t="s">
        <v>782</v>
      </c>
      <c r="K274" s="198">
        <v>5.0000000000000001E-3</v>
      </c>
      <c r="L274" s="145" t="s">
        <v>783</v>
      </c>
      <c r="M274" s="199">
        <f>L237</f>
        <v>28930</v>
      </c>
      <c r="N274" s="145" t="s">
        <v>799</v>
      </c>
      <c r="O274" s="199">
        <f>ROUND((I274+K274)*M274,0)</f>
        <v>376</v>
      </c>
      <c r="P274" s="105" t="s">
        <v>776</v>
      </c>
    </row>
    <row r="275" spans="2:24" ht="14.25" customHeight="1">
      <c r="C275" s="195" t="s">
        <v>785</v>
      </c>
      <c r="D275" s="196" t="s">
        <v>779</v>
      </c>
      <c r="E275" s="197" t="s">
        <v>800</v>
      </c>
      <c r="F275" s="102"/>
      <c r="G275" s="145"/>
      <c r="H275" s="147" t="s">
        <v>801</v>
      </c>
      <c r="I275" s="112">
        <v>37</v>
      </c>
      <c r="J275" s="147" t="s">
        <v>796</v>
      </c>
      <c r="K275" s="112">
        <v>33</v>
      </c>
      <c r="L275" s="145" t="s">
        <v>802</v>
      </c>
      <c r="M275" s="146">
        <f>M269</f>
        <v>4</v>
      </c>
      <c r="N275" s="145" t="s">
        <v>797</v>
      </c>
      <c r="O275" s="199">
        <f>ROUND(I275+(K275*M275),0)</f>
        <v>169</v>
      </c>
      <c r="P275" s="105" t="s">
        <v>776</v>
      </c>
    </row>
    <row r="276" spans="2:24" ht="14.25" customHeight="1">
      <c r="C276" s="105" t="s">
        <v>803</v>
      </c>
    </row>
    <row r="277" spans="2:24" ht="14.25" customHeight="1">
      <c r="C277" s="195" t="s">
        <v>778</v>
      </c>
      <c r="D277" s="196" t="s">
        <v>779</v>
      </c>
      <c r="E277" s="197" t="s">
        <v>791</v>
      </c>
      <c r="F277" s="145"/>
      <c r="G277" s="145"/>
      <c r="H277" s="147" t="s">
        <v>804</v>
      </c>
      <c r="I277" s="198">
        <v>4.0000000000000001E-3</v>
      </c>
      <c r="J277" s="145" t="s">
        <v>782</v>
      </c>
      <c r="K277" s="198">
        <v>3.0000000000000001E-3</v>
      </c>
      <c r="L277" s="145" t="s">
        <v>783</v>
      </c>
      <c r="M277" s="199">
        <f>L237</f>
        <v>28930</v>
      </c>
      <c r="N277" s="145" t="s">
        <v>793</v>
      </c>
      <c r="O277" s="199">
        <f>ROUND((I277+K277)*M277,0)</f>
        <v>203</v>
      </c>
      <c r="P277" s="105" t="s">
        <v>776</v>
      </c>
    </row>
    <row r="278" spans="2:24" ht="14.25" customHeight="1">
      <c r="C278" s="195" t="s">
        <v>785</v>
      </c>
      <c r="D278" s="196" t="s">
        <v>779</v>
      </c>
      <c r="E278" s="197" t="s">
        <v>805</v>
      </c>
      <c r="F278" s="102"/>
      <c r="G278" s="145"/>
      <c r="H278" s="147" t="s">
        <v>801</v>
      </c>
      <c r="I278" s="112">
        <v>78</v>
      </c>
      <c r="J278" s="147" t="s">
        <v>796</v>
      </c>
      <c r="K278" s="112">
        <v>73</v>
      </c>
      <c r="L278" s="145" t="s">
        <v>635</v>
      </c>
      <c r="M278" s="146">
        <f>M269</f>
        <v>4</v>
      </c>
      <c r="N278" s="145" t="s">
        <v>797</v>
      </c>
      <c r="O278" s="199">
        <f>ROUND(I278+(K278*M278),0)</f>
        <v>370</v>
      </c>
      <c r="P278" s="105" t="s">
        <v>794</v>
      </c>
    </row>
    <row r="279" spans="2:24" ht="14.25" customHeight="1">
      <c r="C279" s="105" t="s">
        <v>806</v>
      </c>
    </row>
    <row r="280" spans="2:24" ht="14.25" customHeight="1">
      <c r="C280" s="195" t="s">
        <v>778</v>
      </c>
      <c r="D280" s="196" t="s">
        <v>779</v>
      </c>
      <c r="E280" s="197" t="s">
        <v>791</v>
      </c>
      <c r="F280" s="145"/>
      <c r="G280" s="145"/>
      <c r="H280" s="147" t="s">
        <v>792</v>
      </c>
      <c r="I280" s="198">
        <v>0.42699999999999999</v>
      </c>
      <c r="J280" s="145" t="s">
        <v>782</v>
      </c>
      <c r="K280" s="198">
        <v>0.307</v>
      </c>
      <c r="L280" s="145" t="s">
        <v>807</v>
      </c>
      <c r="M280" s="199">
        <f>L237</f>
        <v>28930</v>
      </c>
      <c r="N280" s="145" t="s">
        <v>799</v>
      </c>
      <c r="O280" s="199">
        <f>ROUND((I280+K280)*M280,0)</f>
        <v>21235</v>
      </c>
      <c r="P280" s="105" t="s">
        <v>808</v>
      </c>
    </row>
    <row r="281" spans="2:24" ht="14.25" customHeight="1">
      <c r="C281" s="195" t="s">
        <v>785</v>
      </c>
      <c r="D281" s="196" t="s">
        <v>779</v>
      </c>
      <c r="E281" s="105" t="s">
        <v>809</v>
      </c>
      <c r="F281" s="102"/>
      <c r="G281" s="145"/>
      <c r="H281" s="147" t="s">
        <v>787</v>
      </c>
      <c r="I281" s="101">
        <v>5116</v>
      </c>
      <c r="J281" s="145" t="s">
        <v>782</v>
      </c>
      <c r="K281" s="112">
        <v>2917</v>
      </c>
      <c r="L281" s="145" t="s">
        <v>635</v>
      </c>
      <c r="M281" s="146">
        <f>'[1]基本 (2)'!D159</f>
        <v>5.6</v>
      </c>
      <c r="N281" s="145" t="s">
        <v>799</v>
      </c>
      <c r="O281" s="199">
        <f>ROUND(I281+K281*M281,0)</f>
        <v>21451</v>
      </c>
      <c r="P281" s="105" t="s">
        <v>808</v>
      </c>
    </row>
    <row r="282" spans="2:24" ht="14.25" customHeight="1">
      <c r="E282" s="105"/>
    </row>
    <row r="283" spans="2:24" ht="14.25" customHeight="1"/>
    <row r="284" spans="2:24" ht="14.25" customHeight="1">
      <c r="B284" s="99" t="s">
        <v>810</v>
      </c>
      <c r="V284" s="112"/>
    </row>
    <row r="285" spans="2:24" ht="14.25" customHeight="1">
      <c r="B285" s="369" t="s">
        <v>566</v>
      </c>
      <c r="C285" s="369"/>
      <c r="D285" s="338" t="s">
        <v>567</v>
      </c>
      <c r="E285" s="369"/>
      <c r="F285" s="369"/>
      <c r="G285" s="369" t="s">
        <v>611</v>
      </c>
      <c r="H285" s="369"/>
      <c r="I285" s="369"/>
      <c r="J285" s="103" t="s">
        <v>568</v>
      </c>
      <c r="K285" s="103" t="s">
        <v>569</v>
      </c>
      <c r="L285" s="369" t="s">
        <v>612</v>
      </c>
      <c r="M285" s="369"/>
      <c r="N285" s="369" t="s">
        <v>613</v>
      </c>
      <c r="O285" s="369"/>
      <c r="P285" s="369" t="s">
        <v>614</v>
      </c>
      <c r="Q285" s="369"/>
      <c r="R285" s="369"/>
      <c r="S285" s="369"/>
      <c r="T285" s="369"/>
      <c r="U285" s="369"/>
      <c r="V285" s="369"/>
      <c r="W285" s="369"/>
      <c r="X285" s="369"/>
    </row>
    <row r="286" spans="2:24" ht="14.25" customHeight="1">
      <c r="B286" s="407" t="s">
        <v>811</v>
      </c>
      <c r="C286" s="379"/>
      <c r="D286" s="379"/>
      <c r="E286" s="379"/>
      <c r="F286" s="379"/>
      <c r="G286" s="379"/>
      <c r="H286" s="379"/>
      <c r="I286" s="379"/>
      <c r="J286" s="186" t="s">
        <v>812</v>
      </c>
      <c r="K286" s="124">
        <f>R286</f>
        <v>187.08</v>
      </c>
      <c r="L286" s="410">
        <v>4112</v>
      </c>
      <c r="M286" s="410"/>
      <c r="N286" s="392">
        <f>K286*L286</f>
        <v>769272.96000000008</v>
      </c>
      <c r="O286" s="392"/>
      <c r="P286" s="411" t="s">
        <v>813</v>
      </c>
      <c r="Q286" s="384"/>
      <c r="R286" s="117">
        <f>'[1]日数 (2)'!E414</f>
        <v>187.08</v>
      </c>
      <c r="S286" s="66" t="s">
        <v>767</v>
      </c>
      <c r="T286" s="200"/>
      <c r="U286" s="96"/>
      <c r="V286" s="96"/>
      <c r="W286" s="96"/>
      <c r="X286" s="122"/>
    </row>
    <row r="287" spans="2:24" ht="14.25" customHeight="1">
      <c r="B287" s="407" t="s">
        <v>814</v>
      </c>
      <c r="C287" s="379"/>
      <c r="D287" s="379"/>
      <c r="E287" s="379"/>
      <c r="F287" s="379"/>
      <c r="G287" s="379"/>
      <c r="H287" s="379"/>
      <c r="I287" s="379"/>
      <c r="J287" s="186"/>
      <c r="K287" s="139"/>
      <c r="L287" s="408"/>
      <c r="M287" s="408"/>
      <c r="N287" s="409"/>
      <c r="O287" s="409"/>
      <c r="P287" s="332" t="s">
        <v>815</v>
      </c>
      <c r="Q287" s="405"/>
      <c r="R287" s="190">
        <v>5</v>
      </c>
      <c r="S287" s="96" t="s">
        <v>295</v>
      </c>
      <c r="T287" s="200" t="s">
        <v>816</v>
      </c>
      <c r="U287" s="96"/>
      <c r="V287" s="96"/>
      <c r="W287" s="96"/>
      <c r="X287" s="122"/>
    </row>
    <row r="288" spans="2:24" ht="14.25" customHeight="1">
      <c r="B288" s="402"/>
      <c r="C288" s="385"/>
      <c r="D288" s="338" t="s">
        <v>817</v>
      </c>
      <c r="E288" s="369"/>
      <c r="F288" s="369"/>
      <c r="G288" s="398" t="s">
        <v>818</v>
      </c>
      <c r="H288" s="399"/>
      <c r="I288" s="400"/>
      <c r="J288" s="153" t="s">
        <v>812</v>
      </c>
      <c r="K288" s="124">
        <f>Cel工事_継手部現場塗装工_数量_素地調整工</f>
        <v>187.08</v>
      </c>
      <c r="L288" s="383">
        <f>W288</f>
        <v>1288</v>
      </c>
      <c r="M288" s="383"/>
      <c r="N288" s="372">
        <f>K288*L288</f>
        <v>240959.04</v>
      </c>
      <c r="O288" s="372"/>
      <c r="P288" s="190">
        <v>888.5</v>
      </c>
      <c r="Q288" s="62" t="s">
        <v>819</v>
      </c>
      <c r="R288" s="62" t="s">
        <v>635</v>
      </c>
      <c r="S288" s="138">
        <v>1.45</v>
      </c>
      <c r="T288" s="62" t="s">
        <v>802</v>
      </c>
      <c r="U288" s="190">
        <v>1</v>
      </c>
      <c r="V288" s="62" t="s">
        <v>820</v>
      </c>
      <c r="W288" s="201">
        <f>ROUND(P288*S288*U288,0)</f>
        <v>1288</v>
      </c>
      <c r="X288" s="202" t="s">
        <v>776</v>
      </c>
    </row>
    <row r="289" spans="2:24" ht="14.25" customHeight="1">
      <c r="B289" s="385"/>
      <c r="C289" s="385"/>
      <c r="D289" s="338" t="s">
        <v>821</v>
      </c>
      <c r="E289" s="369"/>
      <c r="F289" s="369"/>
      <c r="G289" s="398" t="s">
        <v>822</v>
      </c>
      <c r="H289" s="399"/>
      <c r="I289" s="400"/>
      <c r="J289" s="153" t="s">
        <v>812</v>
      </c>
      <c r="K289" s="124">
        <f>Cel工事_継手部現場塗装工_数量_素地調整工</f>
        <v>187.08</v>
      </c>
      <c r="L289" s="383">
        <f>W289</f>
        <v>10959</v>
      </c>
      <c r="M289" s="383"/>
      <c r="N289" s="372">
        <f>K289*L289</f>
        <v>2050209.7200000002</v>
      </c>
      <c r="O289" s="372"/>
      <c r="P289" s="190">
        <v>3779</v>
      </c>
      <c r="Q289" s="62" t="s">
        <v>819</v>
      </c>
      <c r="R289" s="62" t="s">
        <v>635</v>
      </c>
      <c r="S289" s="138">
        <v>1.45</v>
      </c>
      <c r="T289" s="62" t="s">
        <v>635</v>
      </c>
      <c r="U289" s="190">
        <v>2</v>
      </c>
      <c r="V289" s="62" t="s">
        <v>820</v>
      </c>
      <c r="W289" s="201">
        <f>ROUND(P289*S289*U289,0)</f>
        <v>10959</v>
      </c>
      <c r="X289" s="202" t="s">
        <v>776</v>
      </c>
    </row>
    <row r="290" spans="2:24" ht="14.25" customHeight="1">
      <c r="B290" s="385"/>
      <c r="C290" s="385"/>
      <c r="D290" s="338" t="s">
        <v>823</v>
      </c>
      <c r="E290" s="369"/>
      <c r="F290" s="369"/>
      <c r="G290" s="346" t="s">
        <v>824</v>
      </c>
      <c r="H290" s="406"/>
      <c r="I290" s="406"/>
      <c r="J290" s="153" t="s">
        <v>767</v>
      </c>
      <c r="K290" s="124">
        <f>Cel工事_継手部現場塗装工_数量_素地調整工</f>
        <v>187.08</v>
      </c>
      <c r="L290" s="383">
        <f>W290</f>
        <v>1494</v>
      </c>
      <c r="M290" s="383"/>
      <c r="N290" s="372">
        <f>K290*L290</f>
        <v>279497.52</v>
      </c>
      <c r="O290" s="372"/>
      <c r="P290" s="190">
        <v>1030</v>
      </c>
      <c r="Q290" s="62" t="s">
        <v>819</v>
      </c>
      <c r="R290" s="62" t="s">
        <v>802</v>
      </c>
      <c r="S290" s="138">
        <v>1.45</v>
      </c>
      <c r="T290" s="62" t="s">
        <v>825</v>
      </c>
      <c r="U290" s="190">
        <v>1</v>
      </c>
      <c r="V290" s="62" t="s">
        <v>820</v>
      </c>
      <c r="W290" s="201">
        <f>ROUND(P290*S290*U290,0)</f>
        <v>1494</v>
      </c>
      <c r="X290" s="202" t="s">
        <v>776</v>
      </c>
    </row>
    <row r="291" spans="2:24" ht="14.25" customHeight="1">
      <c r="B291" s="385"/>
      <c r="C291" s="385"/>
      <c r="D291" s="338" t="s">
        <v>826</v>
      </c>
      <c r="E291" s="369"/>
      <c r="F291" s="369"/>
      <c r="G291" s="346" t="s">
        <v>827</v>
      </c>
      <c r="H291" s="406"/>
      <c r="I291" s="406"/>
      <c r="J291" s="153" t="s">
        <v>812</v>
      </c>
      <c r="K291" s="116">
        <f>Cel工事_継手部現場塗装工_数量_素地調整工</f>
        <v>187.08</v>
      </c>
      <c r="L291" s="383">
        <f>W291</f>
        <v>2156</v>
      </c>
      <c r="M291" s="383"/>
      <c r="N291" s="372">
        <f>K291*L291</f>
        <v>403344.48000000004</v>
      </c>
      <c r="O291" s="372"/>
      <c r="P291" s="190">
        <v>1487</v>
      </c>
      <c r="Q291" s="62" t="s">
        <v>819</v>
      </c>
      <c r="R291" s="62" t="s">
        <v>635</v>
      </c>
      <c r="S291" s="138">
        <v>1.45</v>
      </c>
      <c r="T291" s="62" t="s">
        <v>635</v>
      </c>
      <c r="U291" s="190">
        <v>1</v>
      </c>
      <c r="V291" s="62" t="s">
        <v>820</v>
      </c>
      <c r="W291" s="201">
        <f>ROUND(P291*S291*U291,0)</f>
        <v>2156</v>
      </c>
      <c r="X291" s="202" t="s">
        <v>776</v>
      </c>
    </row>
    <row r="292" spans="2:24" ht="14.25" hidden="1" customHeight="1">
      <c r="B292" s="402"/>
      <c r="C292" s="385"/>
      <c r="D292" s="385"/>
      <c r="E292" s="385"/>
      <c r="F292" s="385"/>
      <c r="G292" s="385"/>
      <c r="H292" s="385"/>
      <c r="I292" s="385"/>
      <c r="J292" s="203"/>
      <c r="K292" s="204"/>
      <c r="L292" s="403"/>
      <c r="M292" s="403"/>
      <c r="N292" s="404"/>
      <c r="O292" s="404"/>
      <c r="P292" s="332" t="s">
        <v>815</v>
      </c>
      <c r="Q292" s="405"/>
      <c r="R292" s="190">
        <v>3</v>
      </c>
      <c r="S292" s="96" t="s">
        <v>295</v>
      </c>
      <c r="T292" s="200" t="s">
        <v>816</v>
      </c>
      <c r="U292" s="96"/>
      <c r="V292" s="96"/>
      <c r="W292" s="96"/>
      <c r="X292" s="122"/>
    </row>
    <row r="293" spans="2:24" ht="14.25" hidden="1" customHeight="1">
      <c r="B293" s="385"/>
      <c r="C293" s="385"/>
      <c r="D293" s="338" t="s">
        <v>828</v>
      </c>
      <c r="E293" s="369"/>
      <c r="F293" s="369"/>
      <c r="G293" s="398" t="s">
        <v>818</v>
      </c>
      <c r="H293" s="399"/>
      <c r="I293" s="400"/>
      <c r="J293" s="153" t="s">
        <v>812</v>
      </c>
      <c r="K293" s="124"/>
      <c r="L293" s="383">
        <f>W293</f>
        <v>1288</v>
      </c>
      <c r="M293" s="383"/>
      <c r="N293" s="372">
        <f>K293*L293</f>
        <v>0</v>
      </c>
      <c r="O293" s="372"/>
      <c r="P293" s="190">
        <v>888.5</v>
      </c>
      <c r="Q293" s="62" t="s">
        <v>819</v>
      </c>
      <c r="R293" s="62" t="s">
        <v>635</v>
      </c>
      <c r="S293" s="138">
        <v>1.45</v>
      </c>
      <c r="T293" s="62" t="s">
        <v>635</v>
      </c>
      <c r="U293" s="190">
        <v>1</v>
      </c>
      <c r="V293" s="62" t="s">
        <v>820</v>
      </c>
      <c r="W293" s="201">
        <f>ROUND(P293*S293*U293,0)</f>
        <v>1288</v>
      </c>
      <c r="X293" s="202" t="s">
        <v>776</v>
      </c>
    </row>
    <row r="294" spans="2:24" ht="14.25" hidden="1" customHeight="1">
      <c r="B294" s="401" t="s">
        <v>829</v>
      </c>
      <c r="C294" s="368"/>
      <c r="D294" s="338" t="s">
        <v>830</v>
      </c>
      <c r="E294" s="369"/>
      <c r="F294" s="369"/>
      <c r="G294" s="398" t="s">
        <v>822</v>
      </c>
      <c r="H294" s="399"/>
      <c r="I294" s="400"/>
      <c r="J294" s="153" t="s">
        <v>812</v>
      </c>
      <c r="K294" s="124"/>
      <c r="L294" s="383">
        <f>W294</f>
        <v>10959</v>
      </c>
      <c r="M294" s="383"/>
      <c r="N294" s="372">
        <f>K294*L294</f>
        <v>0</v>
      </c>
      <c r="O294" s="372"/>
      <c r="P294" s="190">
        <v>3779</v>
      </c>
      <c r="Q294" s="62" t="s">
        <v>819</v>
      </c>
      <c r="R294" s="62" t="s">
        <v>635</v>
      </c>
      <c r="S294" s="138">
        <v>1.45</v>
      </c>
      <c r="T294" s="62" t="s">
        <v>635</v>
      </c>
      <c r="U294" s="190">
        <v>2</v>
      </c>
      <c r="V294" s="62" t="s">
        <v>820</v>
      </c>
      <c r="W294" s="201">
        <f>ROUND(P294*S294*U294,0)</f>
        <v>10959</v>
      </c>
      <c r="X294" s="202" t="s">
        <v>776</v>
      </c>
    </row>
    <row r="295" spans="2:24" ht="14.25" customHeight="1">
      <c r="B295" s="369"/>
      <c r="C295" s="369"/>
      <c r="D295" s="369" t="s">
        <v>237</v>
      </c>
      <c r="E295" s="369"/>
      <c r="F295" s="369"/>
      <c r="G295" s="369"/>
      <c r="H295" s="369"/>
      <c r="I295" s="369"/>
      <c r="J295" s="103"/>
      <c r="K295" s="104">
        <f>'[1]日数 (2)'!E414</f>
        <v>187.08</v>
      </c>
      <c r="L295" s="370">
        <f>INT(Cel工事_継手部現場塗装工_金額計 / Cel工事_継手部現場塗装工_数量計)</f>
        <v>20009</v>
      </c>
      <c r="M295" s="371"/>
      <c r="N295" s="397">
        <f>SUM(N286:O294)</f>
        <v>3743283.72</v>
      </c>
      <c r="O295" s="372"/>
      <c r="P295" s="135"/>
      <c r="Q295" s="135"/>
      <c r="R295" s="135"/>
      <c r="S295" s="135"/>
      <c r="T295" s="135"/>
      <c r="U295" s="135"/>
      <c r="V295" s="135"/>
      <c r="W295" s="135"/>
      <c r="X295" s="115"/>
    </row>
    <row r="296" spans="2:24" ht="14.25" customHeight="1"/>
    <row r="297" spans="2:24" ht="14.25" customHeight="1"/>
    <row r="298" spans="2:24" ht="14.25" hidden="1" customHeight="1">
      <c r="B298" s="99"/>
      <c r="V298" s="112"/>
    </row>
    <row r="299" spans="2:24" ht="14.25" hidden="1" customHeight="1">
      <c r="B299" s="369" t="s">
        <v>566</v>
      </c>
      <c r="C299" s="369"/>
      <c r="D299" s="338" t="s">
        <v>831</v>
      </c>
      <c r="E299" s="369"/>
      <c r="F299" s="369"/>
      <c r="G299" s="369" t="s">
        <v>611</v>
      </c>
      <c r="H299" s="369"/>
      <c r="I299" s="369"/>
      <c r="J299" s="103" t="s">
        <v>568</v>
      </c>
      <c r="K299" s="103" t="s">
        <v>569</v>
      </c>
      <c r="L299" s="369" t="s">
        <v>612</v>
      </c>
      <c r="M299" s="369"/>
      <c r="N299" s="369" t="s">
        <v>613</v>
      </c>
      <c r="O299" s="369"/>
      <c r="P299" s="369" t="s">
        <v>614</v>
      </c>
      <c r="Q299" s="369"/>
      <c r="R299" s="369"/>
      <c r="S299" s="369"/>
      <c r="T299" s="369"/>
      <c r="U299" s="369"/>
      <c r="V299" s="369"/>
      <c r="W299" s="369"/>
      <c r="X299" s="369"/>
    </row>
    <row r="300" spans="2:24" ht="14.25" hidden="1" customHeight="1">
      <c r="B300" s="379" t="s">
        <v>615</v>
      </c>
      <c r="C300" s="379"/>
      <c r="D300" s="369" t="s">
        <v>616</v>
      </c>
      <c r="E300" s="369"/>
      <c r="F300" s="369"/>
      <c r="G300" s="113" t="s">
        <v>617</v>
      </c>
      <c r="H300" s="114">
        <v>1</v>
      </c>
      <c r="I300" s="115" t="s">
        <v>618</v>
      </c>
      <c r="J300" s="103" t="s">
        <v>619</v>
      </c>
      <c r="K300" s="116">
        <f>H300*R300</f>
        <v>0</v>
      </c>
      <c r="L300" s="383">
        <f>L141</f>
        <v>33710</v>
      </c>
      <c r="M300" s="383"/>
      <c r="N300" s="372">
        <f>K300*L300</f>
        <v>0</v>
      </c>
      <c r="O300" s="372"/>
      <c r="P300" s="384" t="s">
        <v>669</v>
      </c>
      <c r="Q300" s="384"/>
      <c r="R300" s="117"/>
      <c r="S300" s="118" t="s">
        <v>118</v>
      </c>
      <c r="T300" s="118"/>
      <c r="U300" s="118"/>
      <c r="V300" s="118"/>
      <c r="W300" s="118"/>
      <c r="X300" s="120"/>
    </row>
    <row r="301" spans="2:24" ht="14.25" hidden="1" customHeight="1">
      <c r="B301" s="385"/>
      <c r="C301" s="385"/>
      <c r="D301" s="369" t="s">
        <v>623</v>
      </c>
      <c r="E301" s="369"/>
      <c r="F301" s="369"/>
      <c r="G301" s="113" t="s">
        <v>617</v>
      </c>
      <c r="H301" s="114">
        <v>3</v>
      </c>
      <c r="I301" s="115" t="s">
        <v>618</v>
      </c>
      <c r="J301" s="103" t="s">
        <v>624</v>
      </c>
      <c r="K301" s="116">
        <f>H301*R300</f>
        <v>0</v>
      </c>
      <c r="L301" s="383">
        <f>L142</f>
        <v>28930</v>
      </c>
      <c r="M301" s="383"/>
      <c r="N301" s="372">
        <f>K301*L301</f>
        <v>0</v>
      </c>
      <c r="O301" s="372"/>
      <c r="P301" s="96"/>
      <c r="Q301" s="96"/>
      <c r="R301" s="96"/>
      <c r="S301" s="96"/>
      <c r="T301" s="96"/>
      <c r="U301" s="96"/>
      <c r="V301" s="96"/>
      <c r="W301" s="96"/>
      <c r="X301" s="122"/>
    </row>
    <row r="302" spans="2:24" ht="14.25" hidden="1" customHeight="1">
      <c r="B302" s="368"/>
      <c r="C302" s="368"/>
      <c r="D302" s="369" t="s">
        <v>625</v>
      </c>
      <c r="E302" s="369"/>
      <c r="F302" s="369"/>
      <c r="G302" s="113" t="s">
        <v>617</v>
      </c>
      <c r="H302" s="114">
        <v>3</v>
      </c>
      <c r="I302" s="115" t="s">
        <v>618</v>
      </c>
      <c r="J302" s="103" t="s">
        <v>624</v>
      </c>
      <c r="K302" s="116">
        <f>H302*R300</f>
        <v>0</v>
      </c>
      <c r="L302" s="383">
        <f>L143</f>
        <v>18800</v>
      </c>
      <c r="M302" s="383"/>
      <c r="N302" s="372">
        <f>K302*L302</f>
        <v>0</v>
      </c>
      <c r="O302" s="372"/>
      <c r="P302" s="96"/>
      <c r="Q302" s="96"/>
      <c r="R302" s="96"/>
      <c r="S302" s="96"/>
      <c r="T302" s="96"/>
      <c r="U302" s="96"/>
      <c r="V302" s="96"/>
      <c r="W302" s="96"/>
      <c r="X302" s="122"/>
    </row>
    <row r="303" spans="2:24" ht="14.25" hidden="1" customHeight="1">
      <c r="B303" s="379" t="s">
        <v>626</v>
      </c>
      <c r="C303" s="379"/>
      <c r="D303" s="386" t="s">
        <v>832</v>
      </c>
      <c r="E303" s="387"/>
      <c r="F303" s="387"/>
      <c r="G303" s="388"/>
      <c r="H303" s="389"/>
      <c r="I303" s="390"/>
      <c r="J303" s="123" t="s">
        <v>118</v>
      </c>
      <c r="K303" s="124">
        <f>ROUND(R300,0)</f>
        <v>0</v>
      </c>
      <c r="L303" s="391"/>
      <c r="M303" s="391"/>
      <c r="N303" s="392">
        <f>K303*L303</f>
        <v>0</v>
      </c>
      <c r="O303" s="392"/>
      <c r="P303" s="96"/>
      <c r="Q303" s="96"/>
      <c r="R303" s="96"/>
      <c r="S303" s="96"/>
      <c r="T303" s="96"/>
      <c r="U303" s="96"/>
      <c r="V303" s="96"/>
      <c r="W303" s="96"/>
      <c r="X303" s="122"/>
    </row>
    <row r="304" spans="2:24" ht="14.25" hidden="1" customHeight="1">
      <c r="B304" s="385"/>
      <c r="C304" s="385"/>
      <c r="D304" s="368"/>
      <c r="E304" s="368"/>
      <c r="F304" s="368"/>
      <c r="G304" s="393"/>
      <c r="H304" s="394"/>
      <c r="I304" s="394"/>
      <c r="J304" s="125"/>
      <c r="K304" s="126"/>
      <c r="L304" s="395"/>
      <c r="M304" s="395"/>
      <c r="N304" s="396"/>
      <c r="O304" s="396"/>
      <c r="P304" s="96"/>
      <c r="Q304" s="96"/>
      <c r="R304" s="96"/>
      <c r="S304" s="96"/>
      <c r="T304" s="96"/>
      <c r="U304" s="96"/>
      <c r="V304" s="96"/>
      <c r="W304" s="96"/>
      <c r="X304" s="122"/>
    </row>
    <row r="305" spans="2:24" ht="14.25" hidden="1" customHeight="1">
      <c r="B305" s="385"/>
      <c r="C305" s="385"/>
      <c r="D305" s="369" t="s">
        <v>674</v>
      </c>
      <c r="E305" s="369"/>
      <c r="F305" s="369"/>
      <c r="G305" s="369"/>
      <c r="H305" s="369"/>
      <c r="I305" s="369"/>
      <c r="J305" s="103" t="s">
        <v>624</v>
      </c>
      <c r="K305" s="116">
        <f>T305</f>
        <v>0</v>
      </c>
      <c r="L305" s="376">
        <v>9830</v>
      </c>
      <c r="M305" s="376"/>
      <c r="N305" s="372">
        <f>K305*L305</f>
        <v>0</v>
      </c>
      <c r="O305" s="372"/>
      <c r="P305" s="128">
        <f>R300</f>
        <v>0</v>
      </c>
      <c r="Q305" s="62" t="s">
        <v>17</v>
      </c>
      <c r="R305" s="138">
        <v>1.7</v>
      </c>
      <c r="S305" s="62" t="s">
        <v>19</v>
      </c>
      <c r="T305" s="130">
        <f>ROUND(P305*R305,0)</f>
        <v>0</v>
      </c>
      <c r="U305" s="60" t="s">
        <v>118</v>
      </c>
      <c r="V305" s="96"/>
      <c r="W305" s="96"/>
      <c r="X305" s="122"/>
    </row>
    <row r="306" spans="2:24" ht="14.25" hidden="1" customHeight="1">
      <c r="B306" s="368"/>
      <c r="C306" s="368"/>
      <c r="D306" s="369" t="s">
        <v>676</v>
      </c>
      <c r="E306" s="369"/>
      <c r="F306" s="369"/>
      <c r="G306" s="369" t="s">
        <v>677</v>
      </c>
      <c r="H306" s="369"/>
      <c r="I306" s="369"/>
      <c r="J306" s="103" t="s">
        <v>624</v>
      </c>
      <c r="K306" s="116">
        <f>T305</f>
        <v>0</v>
      </c>
      <c r="L306" s="376">
        <v>2300</v>
      </c>
      <c r="M306" s="376"/>
      <c r="N306" s="372">
        <f>K306*L306</f>
        <v>0</v>
      </c>
      <c r="O306" s="372"/>
      <c r="P306" s="96"/>
      <c r="Q306" s="96"/>
      <c r="R306" s="96"/>
      <c r="S306" s="96"/>
      <c r="T306" s="96"/>
      <c r="U306" s="96"/>
      <c r="V306" s="96"/>
      <c r="W306" s="96"/>
      <c r="X306" s="122"/>
    </row>
    <row r="307" spans="2:24" ht="14.25" hidden="1" customHeight="1">
      <c r="B307" s="369" t="s">
        <v>678</v>
      </c>
      <c r="C307" s="369"/>
      <c r="D307" s="369"/>
      <c r="E307" s="369"/>
      <c r="F307" s="369"/>
      <c r="G307" s="369"/>
      <c r="H307" s="369"/>
      <c r="I307" s="369"/>
      <c r="J307" s="103" t="s">
        <v>624</v>
      </c>
      <c r="K307" s="127">
        <v>1</v>
      </c>
      <c r="L307" s="382"/>
      <c r="M307" s="382"/>
      <c r="N307" s="372">
        <f>(N300+N301+N302)*(R307/100)</f>
        <v>0</v>
      </c>
      <c r="O307" s="372"/>
      <c r="P307" s="138" t="s">
        <v>615</v>
      </c>
      <c r="Q307" s="138" t="s">
        <v>17</v>
      </c>
      <c r="R307" s="138">
        <v>5</v>
      </c>
      <c r="S307" s="96" t="s">
        <v>680</v>
      </c>
      <c r="T307" s="96"/>
      <c r="U307" s="96"/>
      <c r="V307" s="96"/>
      <c r="W307" s="96"/>
      <c r="X307" s="122"/>
    </row>
    <row r="308" spans="2:24" ht="14.25" hidden="1" customHeight="1">
      <c r="B308" s="369"/>
      <c r="C308" s="369"/>
      <c r="D308" s="369" t="s">
        <v>237</v>
      </c>
      <c r="E308" s="369"/>
      <c r="F308" s="369"/>
      <c r="G308" s="369"/>
      <c r="H308" s="369"/>
      <c r="I308" s="369"/>
      <c r="J308" s="103"/>
      <c r="K308" s="106"/>
      <c r="L308" s="381"/>
      <c r="M308" s="371"/>
      <c r="N308" s="372">
        <f>SUM(N300:O307)</f>
        <v>0</v>
      </c>
      <c r="O308" s="372"/>
      <c r="P308" s="135"/>
      <c r="Q308" s="135"/>
      <c r="R308" s="135"/>
      <c r="S308" s="135"/>
      <c r="T308" s="135"/>
      <c r="U308" s="135"/>
      <c r="V308" s="135"/>
      <c r="W308" s="135"/>
      <c r="X308" s="115"/>
    </row>
    <row r="309" spans="2:24" ht="14.25" hidden="1" customHeight="1"/>
    <row r="310" spans="2:24" ht="14.25" hidden="1" customHeight="1">
      <c r="B310" s="99" t="s">
        <v>833</v>
      </c>
      <c r="V310" s="112"/>
    </row>
    <row r="311" spans="2:24" ht="14.25" hidden="1" customHeight="1">
      <c r="B311" s="369" t="s">
        <v>566</v>
      </c>
      <c r="C311" s="369"/>
      <c r="D311" s="338" t="s">
        <v>831</v>
      </c>
      <c r="E311" s="369"/>
      <c r="F311" s="369"/>
      <c r="G311" s="369" t="s">
        <v>611</v>
      </c>
      <c r="H311" s="369"/>
      <c r="I311" s="369"/>
      <c r="J311" s="103" t="s">
        <v>568</v>
      </c>
      <c r="K311" s="103" t="s">
        <v>569</v>
      </c>
      <c r="L311" s="369" t="s">
        <v>612</v>
      </c>
      <c r="M311" s="369"/>
      <c r="N311" s="369" t="s">
        <v>613</v>
      </c>
      <c r="O311" s="369"/>
      <c r="P311" s="369" t="s">
        <v>614</v>
      </c>
      <c r="Q311" s="369"/>
      <c r="R311" s="369"/>
      <c r="S311" s="369"/>
      <c r="T311" s="369"/>
      <c r="U311" s="369"/>
      <c r="V311" s="369"/>
      <c r="W311" s="369"/>
      <c r="X311" s="369"/>
    </row>
    <row r="312" spans="2:24" ht="14.25" hidden="1" customHeight="1">
      <c r="B312" s="379" t="s">
        <v>615</v>
      </c>
      <c r="C312" s="379"/>
      <c r="D312" s="369" t="s">
        <v>625</v>
      </c>
      <c r="E312" s="369"/>
      <c r="F312" s="369"/>
      <c r="G312" s="113" t="s">
        <v>617</v>
      </c>
      <c r="H312" s="114">
        <v>4</v>
      </c>
      <c r="I312" s="115" t="s">
        <v>618</v>
      </c>
      <c r="J312" s="103" t="s">
        <v>624</v>
      </c>
      <c r="K312" s="116">
        <f>H312*R312</f>
        <v>0</v>
      </c>
      <c r="L312" s="383">
        <f>L143</f>
        <v>18800</v>
      </c>
      <c r="M312" s="383"/>
      <c r="N312" s="372">
        <f>K312*L312</f>
        <v>0</v>
      </c>
      <c r="O312" s="372"/>
      <c r="P312" s="373" t="s">
        <v>669</v>
      </c>
      <c r="Q312" s="384"/>
      <c r="R312" s="117"/>
      <c r="S312" s="118" t="s">
        <v>118</v>
      </c>
      <c r="T312" s="96"/>
      <c r="U312" s="96"/>
      <c r="V312" s="96"/>
      <c r="W312" s="96"/>
      <c r="X312" s="122"/>
    </row>
    <row r="313" spans="2:24" ht="14.25" hidden="1" customHeight="1">
      <c r="B313" s="379" t="s">
        <v>626</v>
      </c>
      <c r="C313" s="379"/>
      <c r="D313" s="369" t="s">
        <v>674</v>
      </c>
      <c r="E313" s="369"/>
      <c r="F313" s="369"/>
      <c r="G313" s="369"/>
      <c r="H313" s="369"/>
      <c r="I313" s="369"/>
      <c r="J313" s="103" t="s">
        <v>624</v>
      </c>
      <c r="K313" s="116">
        <f>T313</f>
        <v>0</v>
      </c>
      <c r="L313" s="376">
        <v>9830</v>
      </c>
      <c r="M313" s="376"/>
      <c r="N313" s="372">
        <f>K313*L313</f>
        <v>0</v>
      </c>
      <c r="O313" s="372"/>
      <c r="P313" s="128">
        <f>R312</f>
        <v>0</v>
      </c>
      <c r="Q313" s="62" t="s">
        <v>17</v>
      </c>
      <c r="R313" s="138">
        <v>1.7</v>
      </c>
      <c r="S313" s="62" t="s">
        <v>19</v>
      </c>
      <c r="T313" s="130">
        <f>ROUND(P313*R313,0)</f>
        <v>0</v>
      </c>
      <c r="U313" s="60" t="s">
        <v>118</v>
      </c>
      <c r="V313" s="96"/>
      <c r="W313" s="96"/>
      <c r="X313" s="122"/>
    </row>
    <row r="314" spans="2:24" ht="14.25" hidden="1" customHeight="1">
      <c r="B314" s="368"/>
      <c r="C314" s="368"/>
      <c r="D314" s="369" t="s">
        <v>676</v>
      </c>
      <c r="E314" s="369"/>
      <c r="F314" s="369"/>
      <c r="G314" s="369" t="s">
        <v>834</v>
      </c>
      <c r="H314" s="369"/>
      <c r="I314" s="369"/>
      <c r="J314" s="103" t="s">
        <v>624</v>
      </c>
      <c r="K314" s="116">
        <f>T313</f>
        <v>0</v>
      </c>
      <c r="L314" s="376">
        <v>2300</v>
      </c>
      <c r="M314" s="376"/>
      <c r="N314" s="372">
        <f>K314*L314</f>
        <v>0</v>
      </c>
      <c r="O314" s="372"/>
      <c r="P314" s="96"/>
      <c r="Q314" s="96"/>
      <c r="R314" s="96"/>
      <c r="S314" s="96"/>
      <c r="T314" s="96"/>
      <c r="U314" s="96"/>
      <c r="V314" s="96"/>
      <c r="W314" s="96"/>
      <c r="X314" s="122"/>
    </row>
    <row r="315" spans="2:24" ht="14.25" hidden="1" customHeight="1">
      <c r="B315" s="369" t="s">
        <v>751</v>
      </c>
      <c r="C315" s="369"/>
      <c r="D315" s="338" t="s">
        <v>835</v>
      </c>
      <c r="E315" s="369"/>
      <c r="F315" s="369"/>
      <c r="G315" s="369"/>
      <c r="H315" s="369"/>
      <c r="I315" s="369"/>
      <c r="J315" s="103" t="s">
        <v>235</v>
      </c>
      <c r="K315" s="127">
        <v>1</v>
      </c>
      <c r="L315" s="382"/>
      <c r="M315" s="382"/>
      <c r="N315" s="372">
        <f>P315*(R315+T315)*V315</f>
        <v>0</v>
      </c>
      <c r="O315" s="372"/>
      <c r="P315" s="205"/>
      <c r="Q315" s="62" t="s">
        <v>836</v>
      </c>
      <c r="R315" s="138">
        <v>1</v>
      </c>
      <c r="S315" s="62" t="s">
        <v>782</v>
      </c>
      <c r="T315" s="206">
        <v>0.05</v>
      </c>
      <c r="U315" s="62" t="s">
        <v>837</v>
      </c>
      <c r="V315" s="207">
        <v>0</v>
      </c>
      <c r="W315" s="185" t="s">
        <v>808</v>
      </c>
      <c r="X315" s="166"/>
    </row>
    <row r="316" spans="2:24" ht="14.25" hidden="1" customHeight="1">
      <c r="B316" s="369" t="s">
        <v>678</v>
      </c>
      <c r="C316" s="369"/>
      <c r="D316" s="369"/>
      <c r="E316" s="369"/>
      <c r="F316" s="369"/>
      <c r="G316" s="369"/>
      <c r="H316" s="369"/>
      <c r="I316" s="369"/>
      <c r="J316" s="103" t="s">
        <v>624</v>
      </c>
      <c r="K316" s="127">
        <v>1</v>
      </c>
      <c r="L316" s="382"/>
      <c r="M316" s="382"/>
      <c r="N316" s="372">
        <f>(N312+N315)*(S316/100)</f>
        <v>0</v>
      </c>
      <c r="O316" s="372"/>
      <c r="P316" s="380" t="s">
        <v>838</v>
      </c>
      <c r="Q316" s="340"/>
      <c r="R316" s="138" t="s">
        <v>17</v>
      </c>
      <c r="S316" s="138">
        <v>1</v>
      </c>
      <c r="T316" s="96" t="s">
        <v>680</v>
      </c>
      <c r="U316" s="96"/>
      <c r="V316" s="96"/>
      <c r="W316" s="96"/>
      <c r="X316" s="122"/>
    </row>
    <row r="317" spans="2:24" ht="14.25" hidden="1" customHeight="1">
      <c r="B317" s="369"/>
      <c r="C317" s="369"/>
      <c r="D317" s="369" t="s">
        <v>237</v>
      </c>
      <c r="E317" s="369"/>
      <c r="F317" s="369"/>
      <c r="G317" s="369"/>
      <c r="H317" s="369"/>
      <c r="I317" s="369"/>
      <c r="J317" s="103"/>
      <c r="K317" s="106"/>
      <c r="L317" s="381"/>
      <c r="M317" s="371"/>
      <c r="N317" s="372">
        <f>SUM(N312:O316)</f>
        <v>0</v>
      </c>
      <c r="O317" s="372"/>
      <c r="P317" s="135"/>
      <c r="Q317" s="135"/>
      <c r="R317" s="135"/>
      <c r="S317" s="135"/>
      <c r="T317" s="135"/>
      <c r="U317" s="135"/>
      <c r="V317" s="135"/>
      <c r="W317" s="135"/>
      <c r="X317" s="115"/>
    </row>
    <row r="318" spans="2:24" ht="14.25" hidden="1" customHeight="1"/>
    <row r="319" spans="2:24" ht="14.25" hidden="1" customHeight="1">
      <c r="B319" s="99" t="s">
        <v>839</v>
      </c>
      <c r="V319" s="112"/>
    </row>
    <row r="320" spans="2:24" ht="14.25" hidden="1" customHeight="1">
      <c r="B320" s="369" t="s">
        <v>566</v>
      </c>
      <c r="C320" s="369"/>
      <c r="D320" s="338" t="s">
        <v>831</v>
      </c>
      <c r="E320" s="369"/>
      <c r="F320" s="369"/>
      <c r="G320" s="369" t="s">
        <v>611</v>
      </c>
      <c r="H320" s="369"/>
      <c r="I320" s="369"/>
      <c r="J320" s="103" t="s">
        <v>568</v>
      </c>
      <c r="K320" s="103" t="s">
        <v>569</v>
      </c>
      <c r="L320" s="369" t="s">
        <v>612</v>
      </c>
      <c r="M320" s="369"/>
      <c r="N320" s="369" t="s">
        <v>613</v>
      </c>
      <c r="O320" s="369"/>
      <c r="P320" s="369" t="s">
        <v>614</v>
      </c>
      <c r="Q320" s="369"/>
      <c r="R320" s="369"/>
      <c r="S320" s="369"/>
      <c r="T320" s="369"/>
      <c r="U320" s="369"/>
      <c r="V320" s="369"/>
      <c r="W320" s="369"/>
      <c r="X320" s="369"/>
    </row>
    <row r="321" spans="2:24" ht="14.25" hidden="1" customHeight="1">
      <c r="B321" s="379" t="s">
        <v>615</v>
      </c>
      <c r="C321" s="379"/>
      <c r="D321" s="369" t="s">
        <v>625</v>
      </c>
      <c r="E321" s="369"/>
      <c r="F321" s="369"/>
      <c r="G321" s="113" t="s">
        <v>617</v>
      </c>
      <c r="H321" s="114">
        <v>4</v>
      </c>
      <c r="I321" s="115" t="s">
        <v>618</v>
      </c>
      <c r="J321" s="103" t="s">
        <v>624</v>
      </c>
      <c r="K321" s="116">
        <f>H321*R321</f>
        <v>0</v>
      </c>
      <c r="L321" s="383">
        <f>L143</f>
        <v>18800</v>
      </c>
      <c r="M321" s="383"/>
      <c r="N321" s="372">
        <f>K321*L321</f>
        <v>0</v>
      </c>
      <c r="O321" s="372"/>
      <c r="P321" s="373" t="s">
        <v>669</v>
      </c>
      <c r="Q321" s="384"/>
      <c r="R321" s="117"/>
      <c r="S321" s="118" t="s">
        <v>118</v>
      </c>
      <c r="T321" s="96"/>
      <c r="U321" s="96"/>
      <c r="V321" s="96"/>
      <c r="W321" s="96"/>
      <c r="X321" s="122"/>
    </row>
    <row r="322" spans="2:24" ht="14.25" hidden="1" customHeight="1">
      <c r="B322" s="379" t="s">
        <v>626</v>
      </c>
      <c r="C322" s="379"/>
      <c r="D322" s="369" t="s">
        <v>674</v>
      </c>
      <c r="E322" s="369"/>
      <c r="F322" s="369"/>
      <c r="G322" s="369"/>
      <c r="H322" s="369"/>
      <c r="I322" s="369"/>
      <c r="J322" s="103" t="s">
        <v>624</v>
      </c>
      <c r="K322" s="116">
        <f>T322</f>
        <v>0</v>
      </c>
      <c r="L322" s="376">
        <v>9830</v>
      </c>
      <c r="M322" s="376"/>
      <c r="N322" s="372">
        <f>K322*L322</f>
        <v>0</v>
      </c>
      <c r="O322" s="372"/>
      <c r="P322" s="128">
        <f>R321</f>
        <v>0</v>
      </c>
      <c r="Q322" s="62" t="s">
        <v>17</v>
      </c>
      <c r="R322" s="138">
        <v>1.7</v>
      </c>
      <c r="S322" s="62" t="s">
        <v>19</v>
      </c>
      <c r="T322" s="130">
        <f>ROUND(P322*R322,0)</f>
        <v>0</v>
      </c>
      <c r="U322" s="60" t="s">
        <v>118</v>
      </c>
      <c r="V322" s="96"/>
      <c r="W322" s="96"/>
      <c r="X322" s="122"/>
    </row>
    <row r="323" spans="2:24" ht="14.25" hidden="1" customHeight="1">
      <c r="B323" s="368"/>
      <c r="C323" s="368"/>
      <c r="D323" s="369" t="s">
        <v>676</v>
      </c>
      <c r="E323" s="369"/>
      <c r="F323" s="369"/>
      <c r="G323" s="369" t="s">
        <v>834</v>
      </c>
      <c r="H323" s="369"/>
      <c r="I323" s="369"/>
      <c r="J323" s="103" t="s">
        <v>624</v>
      </c>
      <c r="K323" s="116">
        <f>T322</f>
        <v>0</v>
      </c>
      <c r="L323" s="376">
        <v>2300</v>
      </c>
      <c r="M323" s="376"/>
      <c r="N323" s="372">
        <f>K323*L323</f>
        <v>0</v>
      </c>
      <c r="O323" s="372"/>
      <c r="P323" s="96"/>
      <c r="Q323" s="96"/>
      <c r="R323" s="96"/>
      <c r="S323" s="96"/>
      <c r="T323" s="96"/>
      <c r="U323" s="96"/>
      <c r="V323" s="96"/>
      <c r="W323" s="96"/>
      <c r="X323" s="122"/>
    </row>
    <row r="324" spans="2:24" ht="14.25" hidden="1" customHeight="1">
      <c r="B324" s="369" t="s">
        <v>751</v>
      </c>
      <c r="C324" s="369"/>
      <c r="D324" s="338" t="s">
        <v>840</v>
      </c>
      <c r="E324" s="369"/>
      <c r="F324" s="369"/>
      <c r="G324" s="369"/>
      <c r="H324" s="369"/>
      <c r="I324" s="369"/>
      <c r="J324" s="103" t="s">
        <v>235</v>
      </c>
      <c r="K324" s="127">
        <v>1</v>
      </c>
      <c r="L324" s="382"/>
      <c r="M324" s="382"/>
      <c r="N324" s="372">
        <f>P324*(R324+T324)*V324</f>
        <v>0</v>
      </c>
      <c r="O324" s="372"/>
      <c r="P324" s="205"/>
      <c r="Q324" s="62" t="s">
        <v>841</v>
      </c>
      <c r="R324" s="138">
        <v>1</v>
      </c>
      <c r="S324" s="62" t="s">
        <v>782</v>
      </c>
      <c r="T324" s="206">
        <v>0.05</v>
      </c>
      <c r="U324" s="62" t="s">
        <v>837</v>
      </c>
      <c r="V324" s="207">
        <v>0</v>
      </c>
      <c r="W324" s="185" t="s">
        <v>808</v>
      </c>
      <c r="X324" s="166"/>
    </row>
    <row r="325" spans="2:24" ht="14.25" hidden="1" customHeight="1">
      <c r="B325" s="369" t="s">
        <v>678</v>
      </c>
      <c r="C325" s="369"/>
      <c r="D325" s="369"/>
      <c r="E325" s="369"/>
      <c r="F325" s="369"/>
      <c r="G325" s="369"/>
      <c r="H325" s="369"/>
      <c r="I325" s="369"/>
      <c r="J325" s="103" t="s">
        <v>624</v>
      </c>
      <c r="K325" s="127">
        <v>1</v>
      </c>
      <c r="L325" s="382"/>
      <c r="M325" s="382"/>
      <c r="N325" s="372">
        <f>(N321+N324)*(S325/100)</f>
        <v>0</v>
      </c>
      <c r="O325" s="372"/>
      <c r="P325" s="380" t="s">
        <v>838</v>
      </c>
      <c r="Q325" s="340"/>
      <c r="R325" s="138" t="s">
        <v>17</v>
      </c>
      <c r="S325" s="138">
        <v>1</v>
      </c>
      <c r="T325" s="96" t="s">
        <v>680</v>
      </c>
      <c r="U325" s="96"/>
      <c r="V325" s="96"/>
      <c r="W325" s="96"/>
      <c r="X325" s="122"/>
    </row>
    <row r="326" spans="2:24" ht="14.25" hidden="1" customHeight="1">
      <c r="B326" s="369"/>
      <c r="C326" s="369"/>
      <c r="D326" s="369" t="s">
        <v>237</v>
      </c>
      <c r="E326" s="369"/>
      <c r="F326" s="369"/>
      <c r="G326" s="369"/>
      <c r="H326" s="369"/>
      <c r="I326" s="369"/>
      <c r="J326" s="103"/>
      <c r="K326" s="106"/>
      <c r="L326" s="381"/>
      <c r="M326" s="371"/>
      <c r="N326" s="372">
        <f>SUM(N321:O325)</f>
        <v>0</v>
      </c>
      <c r="O326" s="372"/>
      <c r="P326" s="135"/>
      <c r="Q326" s="135"/>
      <c r="R326" s="135"/>
      <c r="S326" s="135"/>
      <c r="T326" s="135"/>
      <c r="U326" s="135"/>
      <c r="V326" s="135"/>
      <c r="W326" s="135"/>
      <c r="X326" s="115"/>
    </row>
    <row r="327" spans="2:24" ht="14.25" customHeight="1"/>
    <row r="328" spans="2:24" ht="14.25" customHeight="1"/>
    <row r="329" spans="2:24" ht="14.25" hidden="1" customHeight="1">
      <c r="B329" s="99"/>
      <c r="K329" s="105"/>
      <c r="L329" s="208" t="s">
        <v>842</v>
      </c>
      <c r="M329" s="209"/>
      <c r="N329" s="105" t="s">
        <v>718</v>
      </c>
    </row>
    <row r="330" spans="2:24" ht="14.25" hidden="1" customHeight="1">
      <c r="B330" s="379" t="s">
        <v>566</v>
      </c>
      <c r="C330" s="379"/>
      <c r="D330" s="338" t="s">
        <v>831</v>
      </c>
      <c r="E330" s="369"/>
      <c r="F330" s="369"/>
      <c r="G330" s="369" t="s">
        <v>611</v>
      </c>
      <c r="H330" s="369"/>
      <c r="I330" s="369"/>
      <c r="J330" s="103" t="s">
        <v>568</v>
      </c>
      <c r="K330" s="103" t="s">
        <v>569</v>
      </c>
      <c r="L330" s="369" t="s">
        <v>612</v>
      </c>
      <c r="M330" s="369"/>
      <c r="N330" s="369" t="s">
        <v>613</v>
      </c>
      <c r="O330" s="369"/>
      <c r="P330" s="369" t="s">
        <v>614</v>
      </c>
      <c r="Q330" s="369"/>
      <c r="R330" s="369"/>
      <c r="S330" s="369"/>
      <c r="T330" s="369"/>
      <c r="U330" s="369"/>
      <c r="V330" s="369"/>
      <c r="W330" s="369"/>
      <c r="X330" s="369"/>
    </row>
    <row r="331" spans="2:24" ht="14.25" hidden="1" customHeight="1">
      <c r="B331" s="373"/>
      <c r="C331" s="374"/>
      <c r="D331" s="375" t="s">
        <v>843</v>
      </c>
      <c r="E331" s="369"/>
      <c r="F331" s="369"/>
      <c r="G331" s="369"/>
      <c r="H331" s="369"/>
      <c r="I331" s="369"/>
      <c r="J331" s="153" t="s">
        <v>587</v>
      </c>
      <c r="K331" s="210">
        <f>P332</f>
        <v>0</v>
      </c>
      <c r="L331" s="376">
        <f>IF(M329&lt;30,7300,IF(M329&lt;40,9100,12100))</f>
        <v>7300</v>
      </c>
      <c r="M331" s="376"/>
      <c r="N331" s="372">
        <f>K331*L331</f>
        <v>0</v>
      </c>
      <c r="O331" s="372"/>
      <c r="P331" s="211"/>
      <c r="Q331" s="118"/>
      <c r="R331" s="118"/>
      <c r="S331" s="118"/>
      <c r="T331" s="118"/>
      <c r="U331" s="118"/>
      <c r="V331" s="118"/>
      <c r="W331" s="118"/>
      <c r="X331" s="120"/>
    </row>
    <row r="332" spans="2:24" ht="14.25" hidden="1" customHeight="1">
      <c r="B332" s="377"/>
      <c r="C332" s="378"/>
      <c r="D332" s="375" t="s">
        <v>844</v>
      </c>
      <c r="E332" s="369"/>
      <c r="F332" s="369"/>
      <c r="G332" s="369"/>
      <c r="H332" s="369"/>
      <c r="I332" s="369"/>
      <c r="J332" s="103" t="s">
        <v>624</v>
      </c>
      <c r="K332" s="212">
        <f>T332</f>
        <v>0</v>
      </c>
      <c r="L332" s="376">
        <v>5300</v>
      </c>
      <c r="M332" s="376"/>
      <c r="N332" s="372">
        <f>K332*L332</f>
        <v>0</v>
      </c>
      <c r="O332" s="372"/>
      <c r="P332" s="213"/>
      <c r="Q332" s="62" t="s">
        <v>17</v>
      </c>
      <c r="R332" s="214">
        <v>0.2</v>
      </c>
      <c r="S332" s="62" t="s">
        <v>19</v>
      </c>
      <c r="T332" s="215">
        <f>ROUND(P332*R332,1)</f>
        <v>0</v>
      </c>
      <c r="U332" s="216" t="s">
        <v>6</v>
      </c>
      <c r="V332" s="96"/>
      <c r="W332" s="96"/>
      <c r="X332" s="122"/>
    </row>
    <row r="333" spans="2:24" ht="14.25" hidden="1" customHeight="1">
      <c r="B333" s="368"/>
      <c r="C333" s="368"/>
      <c r="D333" s="338" t="s">
        <v>845</v>
      </c>
      <c r="E333" s="369"/>
      <c r="F333" s="369"/>
      <c r="G333" s="369"/>
      <c r="H333" s="369"/>
      <c r="I333" s="369"/>
      <c r="J333" s="107"/>
      <c r="K333" s="217">
        <f>'[1]日数 (2)'!F234</f>
        <v>57.999999999999993</v>
      </c>
      <c r="L333" s="370">
        <f>INT(GenbaYousetuKensahi_Goukei / Cel工事_検査費_数量計)</f>
        <v>0</v>
      </c>
      <c r="M333" s="371"/>
      <c r="N333" s="372">
        <f>SUM(N331:O332)</f>
        <v>0</v>
      </c>
      <c r="O333" s="372"/>
      <c r="P333" s="218"/>
      <c r="Q333" s="132"/>
      <c r="R333" s="132"/>
      <c r="S333" s="132"/>
      <c r="T333" s="132"/>
      <c r="U333" s="132"/>
      <c r="V333" s="132"/>
      <c r="W333" s="132"/>
      <c r="X333" s="133"/>
    </row>
  </sheetData>
  <mergeCells count="1258">
    <mergeCell ref="B8:C8"/>
    <mergeCell ref="D8:F8"/>
    <mergeCell ref="I8:J8"/>
    <mergeCell ref="K8:M8"/>
    <mergeCell ref="N8:Q8"/>
    <mergeCell ref="B9:C9"/>
    <mergeCell ref="D9:F9"/>
    <mergeCell ref="I9:J9"/>
    <mergeCell ref="K9:M9"/>
    <mergeCell ref="N9:Q9"/>
    <mergeCell ref="B6:C6"/>
    <mergeCell ref="D6:F6"/>
    <mergeCell ref="I6:J6"/>
    <mergeCell ref="K6:M6"/>
    <mergeCell ref="N6:Q6"/>
    <mergeCell ref="B7:C7"/>
    <mergeCell ref="D7:F7"/>
    <mergeCell ref="I7:J7"/>
    <mergeCell ref="K7:M7"/>
    <mergeCell ref="N7:Q7"/>
    <mergeCell ref="B12:C12"/>
    <mergeCell ref="D12:F12"/>
    <mergeCell ref="I12:J12"/>
    <mergeCell ref="K12:M12"/>
    <mergeCell ref="N12:Q12"/>
    <mergeCell ref="B13:C13"/>
    <mergeCell ref="D13:F13"/>
    <mergeCell ref="I13:J13"/>
    <mergeCell ref="K13:M13"/>
    <mergeCell ref="N13:Q13"/>
    <mergeCell ref="B10:C10"/>
    <mergeCell ref="D10:F10"/>
    <mergeCell ref="I10:J10"/>
    <mergeCell ref="K10:M10"/>
    <mergeCell ref="N10:Q10"/>
    <mergeCell ref="B11:C11"/>
    <mergeCell ref="D11:F11"/>
    <mergeCell ref="I11:J11"/>
    <mergeCell ref="K11:M11"/>
    <mergeCell ref="N11:Q11"/>
    <mergeCell ref="B16:C16"/>
    <mergeCell ref="D16:F16"/>
    <mergeCell ref="I16:J16"/>
    <mergeCell ref="K16:M16"/>
    <mergeCell ref="N16:Q16"/>
    <mergeCell ref="B17:C17"/>
    <mergeCell ref="D17:F17"/>
    <mergeCell ref="I17:J17"/>
    <mergeCell ref="K17:M17"/>
    <mergeCell ref="N17:Q17"/>
    <mergeCell ref="B14:C14"/>
    <mergeCell ref="D14:F14"/>
    <mergeCell ref="I14:J14"/>
    <mergeCell ref="K14:M14"/>
    <mergeCell ref="N14:Q14"/>
    <mergeCell ref="B15:C15"/>
    <mergeCell ref="D15:F15"/>
    <mergeCell ref="I15:J15"/>
    <mergeCell ref="K15:M15"/>
    <mergeCell ref="N15:Q15"/>
    <mergeCell ref="B20:C20"/>
    <mergeCell ref="D20:F20"/>
    <mergeCell ref="I20:J20"/>
    <mergeCell ref="K20:M20"/>
    <mergeCell ref="N20:Q20"/>
    <mergeCell ref="B21:C21"/>
    <mergeCell ref="D21:F21"/>
    <mergeCell ref="I21:J21"/>
    <mergeCell ref="K21:M21"/>
    <mergeCell ref="N21:Q21"/>
    <mergeCell ref="B18:C18"/>
    <mergeCell ref="D18:F18"/>
    <mergeCell ref="I18:J18"/>
    <mergeCell ref="K18:M18"/>
    <mergeCell ref="N18:Q18"/>
    <mergeCell ref="B19:C19"/>
    <mergeCell ref="D19:F19"/>
    <mergeCell ref="I19:J19"/>
    <mergeCell ref="K19:M19"/>
    <mergeCell ref="N19:Q19"/>
    <mergeCell ref="B29:C29"/>
    <mergeCell ref="D29:F29"/>
    <mergeCell ref="L29:M29"/>
    <mergeCell ref="N29:O29"/>
    <mergeCell ref="B30:C30"/>
    <mergeCell ref="D30:F30"/>
    <mergeCell ref="L30:M30"/>
    <mergeCell ref="N30:O30"/>
    <mergeCell ref="N27:O27"/>
    <mergeCell ref="P27:X27"/>
    <mergeCell ref="B28:C28"/>
    <mergeCell ref="D28:F28"/>
    <mergeCell ref="L28:M28"/>
    <mergeCell ref="N28:O28"/>
    <mergeCell ref="P28:Q28"/>
    <mergeCell ref="U28:V28"/>
    <mergeCell ref="C23:E23"/>
    <mergeCell ref="F23:G23"/>
    <mergeCell ref="B27:C27"/>
    <mergeCell ref="D27:F27"/>
    <mergeCell ref="G27:I27"/>
    <mergeCell ref="L27:M27"/>
    <mergeCell ref="B33:C33"/>
    <mergeCell ref="D33:F33"/>
    <mergeCell ref="G33:I33"/>
    <mergeCell ref="L33:M33"/>
    <mergeCell ref="N33:O33"/>
    <mergeCell ref="B34:C34"/>
    <mergeCell ref="D34:F34"/>
    <mergeCell ref="G34:I34"/>
    <mergeCell ref="L34:M34"/>
    <mergeCell ref="N34:O34"/>
    <mergeCell ref="B31:C31"/>
    <mergeCell ref="D31:F31"/>
    <mergeCell ref="G31:I31"/>
    <mergeCell ref="L31:M31"/>
    <mergeCell ref="N31:O31"/>
    <mergeCell ref="B32:C32"/>
    <mergeCell ref="D32:F32"/>
    <mergeCell ref="G32:I32"/>
    <mergeCell ref="L32:M32"/>
    <mergeCell ref="N32:O32"/>
    <mergeCell ref="B37:C37"/>
    <mergeCell ref="D37:F37"/>
    <mergeCell ref="G37:I37"/>
    <mergeCell ref="L37:M37"/>
    <mergeCell ref="N37:O37"/>
    <mergeCell ref="B38:C38"/>
    <mergeCell ref="D38:F38"/>
    <mergeCell ref="G38:I38"/>
    <mergeCell ref="L38:M38"/>
    <mergeCell ref="N38:O38"/>
    <mergeCell ref="B35:C35"/>
    <mergeCell ref="D35:F35"/>
    <mergeCell ref="G35:I35"/>
    <mergeCell ref="L35:M35"/>
    <mergeCell ref="N35:O35"/>
    <mergeCell ref="B36:C36"/>
    <mergeCell ref="D36:F36"/>
    <mergeCell ref="G36:I36"/>
    <mergeCell ref="L36:M36"/>
    <mergeCell ref="N36:O36"/>
    <mergeCell ref="B41:C41"/>
    <mergeCell ref="D41:F41"/>
    <mergeCell ref="G41:I41"/>
    <mergeCell ref="L41:M41"/>
    <mergeCell ref="N41:O41"/>
    <mergeCell ref="B42:C42"/>
    <mergeCell ref="D42:F42"/>
    <mergeCell ref="G42:I42"/>
    <mergeCell ref="L42:M42"/>
    <mergeCell ref="N42:O42"/>
    <mergeCell ref="B39:C39"/>
    <mergeCell ref="D39:F39"/>
    <mergeCell ref="G39:I39"/>
    <mergeCell ref="L39:M39"/>
    <mergeCell ref="N39:O39"/>
    <mergeCell ref="B40:C40"/>
    <mergeCell ref="D40:F40"/>
    <mergeCell ref="G40:I40"/>
    <mergeCell ref="L40:M40"/>
    <mergeCell ref="N40:O40"/>
    <mergeCell ref="B45:C45"/>
    <mergeCell ref="D45:F45"/>
    <mergeCell ref="G45:I45"/>
    <mergeCell ref="L45:M45"/>
    <mergeCell ref="N45:O45"/>
    <mergeCell ref="B46:C46"/>
    <mergeCell ref="D46:F46"/>
    <mergeCell ref="G46:I46"/>
    <mergeCell ref="L46:M46"/>
    <mergeCell ref="N46:O46"/>
    <mergeCell ref="B43:C43"/>
    <mergeCell ref="D43:F43"/>
    <mergeCell ref="G43:I43"/>
    <mergeCell ref="L43:M43"/>
    <mergeCell ref="N43:O43"/>
    <mergeCell ref="B44:C44"/>
    <mergeCell ref="D44:F44"/>
    <mergeCell ref="G44:I44"/>
    <mergeCell ref="L44:M44"/>
    <mergeCell ref="N44:O44"/>
    <mergeCell ref="B49:C49"/>
    <mergeCell ref="D49:F49"/>
    <mergeCell ref="G49:I49"/>
    <mergeCell ref="L49:M49"/>
    <mergeCell ref="N49:O49"/>
    <mergeCell ref="B50:C50"/>
    <mergeCell ref="D50:F50"/>
    <mergeCell ref="G50:I50"/>
    <mergeCell ref="L50:M50"/>
    <mergeCell ref="N50:O50"/>
    <mergeCell ref="B47:C47"/>
    <mergeCell ref="D47:F47"/>
    <mergeCell ref="G47:I47"/>
    <mergeCell ref="L47:M47"/>
    <mergeCell ref="N47:O47"/>
    <mergeCell ref="B48:C48"/>
    <mergeCell ref="D48:F48"/>
    <mergeCell ref="G48:I48"/>
    <mergeCell ref="L48:M48"/>
    <mergeCell ref="N48:O48"/>
    <mergeCell ref="B53:C53"/>
    <mergeCell ref="D53:F53"/>
    <mergeCell ref="G53:I53"/>
    <mergeCell ref="L53:M53"/>
    <mergeCell ref="N53:O53"/>
    <mergeCell ref="B54:C54"/>
    <mergeCell ref="D54:F54"/>
    <mergeCell ref="G54:I54"/>
    <mergeCell ref="L54:M54"/>
    <mergeCell ref="N54:O54"/>
    <mergeCell ref="B51:C51"/>
    <mergeCell ref="D51:F51"/>
    <mergeCell ref="G51:I51"/>
    <mergeCell ref="L51:M51"/>
    <mergeCell ref="N51:O51"/>
    <mergeCell ref="B52:C52"/>
    <mergeCell ref="D52:F52"/>
    <mergeCell ref="G52:I52"/>
    <mergeCell ref="L52:M52"/>
    <mergeCell ref="N52:O52"/>
    <mergeCell ref="B57:C57"/>
    <mergeCell ref="D57:F57"/>
    <mergeCell ref="G57:I57"/>
    <mergeCell ref="L57:M57"/>
    <mergeCell ref="N57:O57"/>
    <mergeCell ref="B58:C58"/>
    <mergeCell ref="D58:F58"/>
    <mergeCell ref="G58:I58"/>
    <mergeCell ref="L58:M58"/>
    <mergeCell ref="N58:O58"/>
    <mergeCell ref="B55:C55"/>
    <mergeCell ref="D55:F55"/>
    <mergeCell ref="G55:I55"/>
    <mergeCell ref="L55:M55"/>
    <mergeCell ref="N55:O55"/>
    <mergeCell ref="B56:C56"/>
    <mergeCell ref="D56:F56"/>
    <mergeCell ref="G56:I56"/>
    <mergeCell ref="L56:M56"/>
    <mergeCell ref="N56:O56"/>
    <mergeCell ref="B61:C61"/>
    <mergeCell ref="D61:F61"/>
    <mergeCell ref="G61:I61"/>
    <mergeCell ref="L61:M61"/>
    <mergeCell ref="N61:O61"/>
    <mergeCell ref="B62:C62"/>
    <mergeCell ref="D62:F62"/>
    <mergeCell ref="G62:I62"/>
    <mergeCell ref="L62:M62"/>
    <mergeCell ref="N62:O62"/>
    <mergeCell ref="B59:C59"/>
    <mergeCell ref="D59:F59"/>
    <mergeCell ref="G59:I59"/>
    <mergeCell ref="L59:M59"/>
    <mergeCell ref="N59:O59"/>
    <mergeCell ref="B60:C60"/>
    <mergeCell ref="D60:F60"/>
    <mergeCell ref="G60:I60"/>
    <mergeCell ref="L60:M60"/>
    <mergeCell ref="N60:O60"/>
    <mergeCell ref="P69:X69"/>
    <mergeCell ref="B70:C70"/>
    <mergeCell ref="D70:F70"/>
    <mergeCell ref="L70:M70"/>
    <mergeCell ref="N70:O70"/>
    <mergeCell ref="P70:Q70"/>
    <mergeCell ref="B65:C65"/>
    <mergeCell ref="D65:F65"/>
    <mergeCell ref="G65:I65"/>
    <mergeCell ref="L65:M65"/>
    <mergeCell ref="N65:O65"/>
    <mergeCell ref="B69:C69"/>
    <mergeCell ref="D69:F69"/>
    <mergeCell ref="G69:I69"/>
    <mergeCell ref="L69:M69"/>
    <mergeCell ref="N69:O69"/>
    <mergeCell ref="B63:C63"/>
    <mergeCell ref="D63:F63"/>
    <mergeCell ref="G63:I63"/>
    <mergeCell ref="L63:M63"/>
    <mergeCell ref="N63:O63"/>
    <mergeCell ref="B64:C64"/>
    <mergeCell ref="D64:F64"/>
    <mergeCell ref="G64:I64"/>
    <mergeCell ref="L64:M64"/>
    <mergeCell ref="N64:O64"/>
    <mergeCell ref="B73:C73"/>
    <mergeCell ref="D73:F73"/>
    <mergeCell ref="G73:I73"/>
    <mergeCell ref="L73:M73"/>
    <mergeCell ref="N73:O73"/>
    <mergeCell ref="B74:C74"/>
    <mergeCell ref="D74:F74"/>
    <mergeCell ref="G74:I74"/>
    <mergeCell ref="L74:M74"/>
    <mergeCell ref="N74:O74"/>
    <mergeCell ref="B71:C71"/>
    <mergeCell ref="D71:F71"/>
    <mergeCell ref="L71:M71"/>
    <mergeCell ref="N71:O71"/>
    <mergeCell ref="B72:C72"/>
    <mergeCell ref="D72:F72"/>
    <mergeCell ref="L72:M72"/>
    <mergeCell ref="N72:O72"/>
    <mergeCell ref="B77:C77"/>
    <mergeCell ref="D77:F77"/>
    <mergeCell ref="G77:I77"/>
    <mergeCell ref="L77:M77"/>
    <mergeCell ref="N77:O77"/>
    <mergeCell ref="B78:C78"/>
    <mergeCell ref="D78:F78"/>
    <mergeCell ref="G78:I78"/>
    <mergeCell ref="L78:M78"/>
    <mergeCell ref="N78:O78"/>
    <mergeCell ref="B75:C75"/>
    <mergeCell ref="D75:F75"/>
    <mergeCell ref="G75:I75"/>
    <mergeCell ref="L75:M75"/>
    <mergeCell ref="N75:O75"/>
    <mergeCell ref="B76:C76"/>
    <mergeCell ref="D76:F76"/>
    <mergeCell ref="G76:I76"/>
    <mergeCell ref="L76:M76"/>
    <mergeCell ref="N76:O76"/>
    <mergeCell ref="B81:C81"/>
    <mergeCell ref="D81:F81"/>
    <mergeCell ref="G81:I81"/>
    <mergeCell ref="L81:M81"/>
    <mergeCell ref="N81:O81"/>
    <mergeCell ref="B82:C82"/>
    <mergeCell ref="D82:F82"/>
    <mergeCell ref="G82:I82"/>
    <mergeCell ref="L82:M82"/>
    <mergeCell ref="N82:O82"/>
    <mergeCell ref="B79:C79"/>
    <mergeCell ref="D79:F79"/>
    <mergeCell ref="G79:I79"/>
    <mergeCell ref="L79:M79"/>
    <mergeCell ref="N79:O79"/>
    <mergeCell ref="B80:C80"/>
    <mergeCell ref="D80:F80"/>
    <mergeCell ref="G80:I80"/>
    <mergeCell ref="L80:M80"/>
    <mergeCell ref="N80:O80"/>
    <mergeCell ref="B85:C85"/>
    <mergeCell ref="D85:F85"/>
    <mergeCell ref="G85:I85"/>
    <mergeCell ref="L85:M85"/>
    <mergeCell ref="N85:O85"/>
    <mergeCell ref="B86:C86"/>
    <mergeCell ref="D86:F86"/>
    <mergeCell ref="G86:I86"/>
    <mergeCell ref="L86:M86"/>
    <mergeCell ref="N86:O86"/>
    <mergeCell ref="B83:C83"/>
    <mergeCell ref="D83:F83"/>
    <mergeCell ref="G83:I83"/>
    <mergeCell ref="L83:M83"/>
    <mergeCell ref="N83:O83"/>
    <mergeCell ref="B84:C84"/>
    <mergeCell ref="D84:F84"/>
    <mergeCell ref="G84:I84"/>
    <mergeCell ref="L84:M84"/>
    <mergeCell ref="N84:O84"/>
    <mergeCell ref="B89:C89"/>
    <mergeCell ref="D89:F89"/>
    <mergeCell ref="G89:I89"/>
    <mergeCell ref="L89:M89"/>
    <mergeCell ref="N89:O89"/>
    <mergeCell ref="B90:C90"/>
    <mergeCell ref="D90:F90"/>
    <mergeCell ref="G90:I90"/>
    <mergeCell ref="L90:M90"/>
    <mergeCell ref="N90:O90"/>
    <mergeCell ref="B87:C87"/>
    <mergeCell ref="D87:F87"/>
    <mergeCell ref="G87:I87"/>
    <mergeCell ref="L87:M87"/>
    <mergeCell ref="N87:O87"/>
    <mergeCell ref="B88:C88"/>
    <mergeCell ref="D88:F88"/>
    <mergeCell ref="G88:I88"/>
    <mergeCell ref="L88:M88"/>
    <mergeCell ref="N88:O88"/>
    <mergeCell ref="B93:C93"/>
    <mergeCell ref="D93:F93"/>
    <mergeCell ref="G93:I93"/>
    <mergeCell ref="L93:M93"/>
    <mergeCell ref="N93:O93"/>
    <mergeCell ref="B94:C94"/>
    <mergeCell ref="D94:F94"/>
    <mergeCell ref="G94:I94"/>
    <mergeCell ref="L94:M94"/>
    <mergeCell ref="N94:O94"/>
    <mergeCell ref="B91:C91"/>
    <mergeCell ref="D91:F91"/>
    <mergeCell ref="G91:I91"/>
    <mergeCell ref="L91:M91"/>
    <mergeCell ref="N91:O91"/>
    <mergeCell ref="B92:C92"/>
    <mergeCell ref="D92:F92"/>
    <mergeCell ref="G92:I92"/>
    <mergeCell ref="L92:M92"/>
    <mergeCell ref="N92:O92"/>
    <mergeCell ref="B97:C97"/>
    <mergeCell ref="D97:F97"/>
    <mergeCell ref="G97:I97"/>
    <mergeCell ref="L97:M97"/>
    <mergeCell ref="N97:O97"/>
    <mergeCell ref="B98:C98"/>
    <mergeCell ref="D98:F98"/>
    <mergeCell ref="G98:I98"/>
    <mergeCell ref="L98:M98"/>
    <mergeCell ref="N98:O98"/>
    <mergeCell ref="B95:C95"/>
    <mergeCell ref="D95:F95"/>
    <mergeCell ref="G95:I95"/>
    <mergeCell ref="L95:M95"/>
    <mergeCell ref="N95:O95"/>
    <mergeCell ref="B96:C96"/>
    <mergeCell ref="D96:F96"/>
    <mergeCell ref="G96:I96"/>
    <mergeCell ref="L96:M96"/>
    <mergeCell ref="N96:O96"/>
    <mergeCell ref="B101:C101"/>
    <mergeCell ref="D101:F101"/>
    <mergeCell ref="G101:I101"/>
    <mergeCell ref="L101:M101"/>
    <mergeCell ref="N101:O101"/>
    <mergeCell ref="B102:C102"/>
    <mergeCell ref="D102:F102"/>
    <mergeCell ref="G102:I102"/>
    <mergeCell ref="L102:M102"/>
    <mergeCell ref="N102:O102"/>
    <mergeCell ref="B99:C99"/>
    <mergeCell ref="D99:F99"/>
    <mergeCell ref="G99:I99"/>
    <mergeCell ref="L99:M99"/>
    <mergeCell ref="N99:O99"/>
    <mergeCell ref="B100:C100"/>
    <mergeCell ref="D100:F100"/>
    <mergeCell ref="G100:I100"/>
    <mergeCell ref="L100:M100"/>
    <mergeCell ref="N100:O100"/>
    <mergeCell ref="B105:C105"/>
    <mergeCell ref="D105:F105"/>
    <mergeCell ref="G105:I105"/>
    <mergeCell ref="L105:M105"/>
    <mergeCell ref="N105:O105"/>
    <mergeCell ref="B106:C106"/>
    <mergeCell ref="D106:F106"/>
    <mergeCell ref="G106:I106"/>
    <mergeCell ref="L106:M106"/>
    <mergeCell ref="N106:O106"/>
    <mergeCell ref="B103:C103"/>
    <mergeCell ref="D103:F103"/>
    <mergeCell ref="G103:I103"/>
    <mergeCell ref="L103:M103"/>
    <mergeCell ref="N103:O103"/>
    <mergeCell ref="B104:C104"/>
    <mergeCell ref="D104:F104"/>
    <mergeCell ref="G104:I104"/>
    <mergeCell ref="L104:M104"/>
    <mergeCell ref="N104:O104"/>
    <mergeCell ref="P113:X113"/>
    <mergeCell ref="B114:C114"/>
    <mergeCell ref="D114:F114"/>
    <mergeCell ref="L114:M114"/>
    <mergeCell ref="N114:O114"/>
    <mergeCell ref="P114:Q114"/>
    <mergeCell ref="B109:C109"/>
    <mergeCell ref="D109:F109"/>
    <mergeCell ref="G109:I109"/>
    <mergeCell ref="L109:M109"/>
    <mergeCell ref="N109:O109"/>
    <mergeCell ref="B113:C113"/>
    <mergeCell ref="D113:F113"/>
    <mergeCell ref="G113:I113"/>
    <mergeCell ref="L113:M113"/>
    <mergeCell ref="N113:O113"/>
    <mergeCell ref="B107:C107"/>
    <mergeCell ref="D107:F107"/>
    <mergeCell ref="G107:I107"/>
    <mergeCell ref="L107:M107"/>
    <mergeCell ref="N107:O107"/>
    <mergeCell ref="B108:C108"/>
    <mergeCell ref="D108:F108"/>
    <mergeCell ref="G108:I108"/>
    <mergeCell ref="L108:M108"/>
    <mergeCell ref="N108:O108"/>
    <mergeCell ref="B117:C117"/>
    <mergeCell ref="D117:F117"/>
    <mergeCell ref="G117:I117"/>
    <mergeCell ref="L117:M117"/>
    <mergeCell ref="N117:O117"/>
    <mergeCell ref="B118:C118"/>
    <mergeCell ref="D118:F118"/>
    <mergeCell ref="G118:I118"/>
    <mergeCell ref="L118:M118"/>
    <mergeCell ref="N118:O118"/>
    <mergeCell ref="B115:C115"/>
    <mergeCell ref="D115:F115"/>
    <mergeCell ref="L115:M115"/>
    <mergeCell ref="N115:O115"/>
    <mergeCell ref="B116:C116"/>
    <mergeCell ref="D116:F116"/>
    <mergeCell ref="L116:M116"/>
    <mergeCell ref="N116:O116"/>
    <mergeCell ref="B126:C126"/>
    <mergeCell ref="D126:F126"/>
    <mergeCell ref="G126:I126"/>
    <mergeCell ref="L126:M126"/>
    <mergeCell ref="N126:O126"/>
    <mergeCell ref="P126:X126"/>
    <mergeCell ref="B121:C121"/>
    <mergeCell ref="D121:F121"/>
    <mergeCell ref="G121:I121"/>
    <mergeCell ref="L121:M121"/>
    <mergeCell ref="N121:O121"/>
    <mergeCell ref="B122:C122"/>
    <mergeCell ref="D122:F122"/>
    <mergeCell ref="G122:I122"/>
    <mergeCell ref="L122:M122"/>
    <mergeCell ref="N122:O122"/>
    <mergeCell ref="B119:C119"/>
    <mergeCell ref="D119:F119"/>
    <mergeCell ref="G119:I119"/>
    <mergeCell ref="L119:M119"/>
    <mergeCell ref="N119:O119"/>
    <mergeCell ref="B120:C120"/>
    <mergeCell ref="D120:F120"/>
    <mergeCell ref="G120:I120"/>
    <mergeCell ref="L120:M120"/>
    <mergeCell ref="N120:O120"/>
    <mergeCell ref="B129:C129"/>
    <mergeCell ref="D129:F129"/>
    <mergeCell ref="L129:M129"/>
    <mergeCell ref="N129:O129"/>
    <mergeCell ref="B130:C130"/>
    <mergeCell ref="D130:F130"/>
    <mergeCell ref="G130:I130"/>
    <mergeCell ref="L130:M130"/>
    <mergeCell ref="N130:O130"/>
    <mergeCell ref="B127:C127"/>
    <mergeCell ref="D127:F127"/>
    <mergeCell ref="L127:M127"/>
    <mergeCell ref="N127:O127"/>
    <mergeCell ref="P127:Q127"/>
    <mergeCell ref="B128:C128"/>
    <mergeCell ref="D128:F128"/>
    <mergeCell ref="L128:M128"/>
    <mergeCell ref="N128:O128"/>
    <mergeCell ref="B133:C133"/>
    <mergeCell ref="D133:F133"/>
    <mergeCell ref="G133:I133"/>
    <mergeCell ref="L133:M133"/>
    <mergeCell ref="N133:O133"/>
    <mergeCell ref="B134:C134"/>
    <mergeCell ref="D134:F134"/>
    <mergeCell ref="G134:I134"/>
    <mergeCell ref="L134:M134"/>
    <mergeCell ref="N134:O134"/>
    <mergeCell ref="B131:C131"/>
    <mergeCell ref="D131:F131"/>
    <mergeCell ref="G131:I131"/>
    <mergeCell ref="L131:M131"/>
    <mergeCell ref="N131:O131"/>
    <mergeCell ref="B132:C132"/>
    <mergeCell ref="D132:F132"/>
    <mergeCell ref="G132:I132"/>
    <mergeCell ref="L132:M132"/>
    <mergeCell ref="N132:O132"/>
    <mergeCell ref="B141:C141"/>
    <mergeCell ref="D141:F141"/>
    <mergeCell ref="L141:M141"/>
    <mergeCell ref="N141:O141"/>
    <mergeCell ref="P141:Q141"/>
    <mergeCell ref="B142:C142"/>
    <mergeCell ref="D142:F142"/>
    <mergeCell ref="L142:M142"/>
    <mergeCell ref="N142:O142"/>
    <mergeCell ref="B140:C140"/>
    <mergeCell ref="D140:F140"/>
    <mergeCell ref="G140:I140"/>
    <mergeCell ref="L140:M140"/>
    <mergeCell ref="N140:O140"/>
    <mergeCell ref="P140:X140"/>
    <mergeCell ref="B135:C135"/>
    <mergeCell ref="D135:F135"/>
    <mergeCell ref="G135:I135"/>
    <mergeCell ref="L135:M135"/>
    <mergeCell ref="N135:O135"/>
    <mergeCell ref="B136:C136"/>
    <mergeCell ref="D136:F136"/>
    <mergeCell ref="G136:I136"/>
    <mergeCell ref="L136:M136"/>
    <mergeCell ref="N136:O136"/>
    <mergeCell ref="B145:C145"/>
    <mergeCell ref="D145:F145"/>
    <mergeCell ref="G145:I145"/>
    <mergeCell ref="L145:M145"/>
    <mergeCell ref="N145:O145"/>
    <mergeCell ref="B146:C146"/>
    <mergeCell ref="D146:F146"/>
    <mergeCell ref="G146:I146"/>
    <mergeCell ref="L146:M146"/>
    <mergeCell ref="N146:O146"/>
    <mergeCell ref="B143:C143"/>
    <mergeCell ref="D143:F143"/>
    <mergeCell ref="L143:M143"/>
    <mergeCell ref="N143:O143"/>
    <mergeCell ref="B144:C144"/>
    <mergeCell ref="D144:F144"/>
    <mergeCell ref="G144:I144"/>
    <mergeCell ref="L144:M144"/>
    <mergeCell ref="N144:O144"/>
    <mergeCell ref="B149:C149"/>
    <mergeCell ref="D149:F149"/>
    <mergeCell ref="G149:I149"/>
    <mergeCell ref="L149:M149"/>
    <mergeCell ref="N149:O149"/>
    <mergeCell ref="B150:C150"/>
    <mergeCell ref="D150:F150"/>
    <mergeCell ref="G150:I150"/>
    <mergeCell ref="L150:M150"/>
    <mergeCell ref="N150:O150"/>
    <mergeCell ref="B147:C147"/>
    <mergeCell ref="D147:F147"/>
    <mergeCell ref="G147:I147"/>
    <mergeCell ref="L147:M147"/>
    <mergeCell ref="N147:O147"/>
    <mergeCell ref="B148:C148"/>
    <mergeCell ref="D148:F148"/>
    <mergeCell ref="G148:I148"/>
    <mergeCell ref="L148:M148"/>
    <mergeCell ref="N148:O148"/>
    <mergeCell ref="B164:C164"/>
    <mergeCell ref="D164:F164"/>
    <mergeCell ref="G164:I164"/>
    <mergeCell ref="L164:M164"/>
    <mergeCell ref="N164:O164"/>
    <mergeCell ref="B165:C165"/>
    <mergeCell ref="D165:F165"/>
    <mergeCell ref="G165:I165"/>
    <mergeCell ref="L165:M165"/>
    <mergeCell ref="N165:O165"/>
    <mergeCell ref="P162:X162"/>
    <mergeCell ref="B163:C163"/>
    <mergeCell ref="D163:F163"/>
    <mergeCell ref="G163:I163"/>
    <mergeCell ref="L163:M163"/>
    <mergeCell ref="N163:O163"/>
    <mergeCell ref="B151:C151"/>
    <mergeCell ref="D151:F151"/>
    <mergeCell ref="G151:I151"/>
    <mergeCell ref="L151:M151"/>
    <mergeCell ref="N151:O151"/>
    <mergeCell ref="B162:C162"/>
    <mergeCell ref="D162:F162"/>
    <mergeCell ref="G162:I162"/>
    <mergeCell ref="L162:M162"/>
    <mergeCell ref="N162:O162"/>
    <mergeCell ref="B172:C172"/>
    <mergeCell ref="D172:F172"/>
    <mergeCell ref="L172:M172"/>
    <mergeCell ref="N172:O172"/>
    <mergeCell ref="P172:Q172"/>
    <mergeCell ref="B173:C173"/>
    <mergeCell ref="D173:F173"/>
    <mergeCell ref="L173:M173"/>
    <mergeCell ref="N173:O173"/>
    <mergeCell ref="B171:C171"/>
    <mergeCell ref="D171:F171"/>
    <mergeCell ref="G171:I171"/>
    <mergeCell ref="L171:M171"/>
    <mergeCell ref="N171:O171"/>
    <mergeCell ref="P171:X171"/>
    <mergeCell ref="B166:C166"/>
    <mergeCell ref="D166:F166"/>
    <mergeCell ref="G166:I166"/>
    <mergeCell ref="L166:M166"/>
    <mergeCell ref="N166:O166"/>
    <mergeCell ref="B167:C167"/>
    <mergeCell ref="D167:F167"/>
    <mergeCell ref="G167:I167"/>
    <mergeCell ref="L167:M167"/>
    <mergeCell ref="N167:O167"/>
    <mergeCell ref="J180:K180"/>
    <mergeCell ref="B181:C181"/>
    <mergeCell ref="D181:F181"/>
    <mergeCell ref="G181:I181"/>
    <mergeCell ref="L181:M181"/>
    <mergeCell ref="N181:O181"/>
    <mergeCell ref="B176:C176"/>
    <mergeCell ref="D176:F176"/>
    <mergeCell ref="G176:I176"/>
    <mergeCell ref="L176:M176"/>
    <mergeCell ref="N176:O176"/>
    <mergeCell ref="B177:C177"/>
    <mergeCell ref="D177:F177"/>
    <mergeCell ref="G177:I177"/>
    <mergeCell ref="L177:M177"/>
    <mergeCell ref="N177:O177"/>
    <mergeCell ref="B174:C174"/>
    <mergeCell ref="D174:F174"/>
    <mergeCell ref="G174:I174"/>
    <mergeCell ref="L174:M174"/>
    <mergeCell ref="N174:O174"/>
    <mergeCell ref="B175:C175"/>
    <mergeCell ref="D175:F175"/>
    <mergeCell ref="G175:I175"/>
    <mergeCell ref="L175:M175"/>
    <mergeCell ref="N175:O175"/>
    <mergeCell ref="B184:C184"/>
    <mergeCell ref="D184:F184"/>
    <mergeCell ref="G184:I184"/>
    <mergeCell ref="L184:M184"/>
    <mergeCell ref="N184:O184"/>
    <mergeCell ref="B185:C185"/>
    <mergeCell ref="D185:F185"/>
    <mergeCell ref="G185:I185"/>
    <mergeCell ref="L185:M185"/>
    <mergeCell ref="N185:O185"/>
    <mergeCell ref="B183:C183"/>
    <mergeCell ref="D183:F183"/>
    <mergeCell ref="G183:I183"/>
    <mergeCell ref="L183:M183"/>
    <mergeCell ref="N183:O183"/>
    <mergeCell ref="P183:Q183"/>
    <mergeCell ref="P181:X181"/>
    <mergeCell ref="B182:C182"/>
    <mergeCell ref="D182:F182"/>
    <mergeCell ref="G182:I182"/>
    <mergeCell ref="L182:M182"/>
    <mergeCell ref="N182:O182"/>
    <mergeCell ref="P182:Q182"/>
    <mergeCell ref="P191:X191"/>
    <mergeCell ref="B192:C192"/>
    <mergeCell ref="D192:F192"/>
    <mergeCell ref="G192:I192"/>
    <mergeCell ref="L192:M192"/>
    <mergeCell ref="N192:O192"/>
    <mergeCell ref="B188:C188"/>
    <mergeCell ref="D188:F188"/>
    <mergeCell ref="G188:I188"/>
    <mergeCell ref="L188:M188"/>
    <mergeCell ref="N188:O188"/>
    <mergeCell ref="B191:C191"/>
    <mergeCell ref="D191:F191"/>
    <mergeCell ref="G191:I191"/>
    <mergeCell ref="L191:M191"/>
    <mergeCell ref="N191:O191"/>
    <mergeCell ref="B186:C186"/>
    <mergeCell ref="D186:F186"/>
    <mergeCell ref="G186:I186"/>
    <mergeCell ref="L186:M186"/>
    <mergeCell ref="N186:O186"/>
    <mergeCell ref="B187:C187"/>
    <mergeCell ref="D187:F187"/>
    <mergeCell ref="G187:I187"/>
    <mergeCell ref="L187:M187"/>
    <mergeCell ref="N187:O187"/>
    <mergeCell ref="P199:X199"/>
    <mergeCell ref="B200:C200"/>
    <mergeCell ref="D200:F200"/>
    <mergeCell ref="L200:M200"/>
    <mergeCell ref="N200:O200"/>
    <mergeCell ref="P200:Q200"/>
    <mergeCell ref="B195:C195"/>
    <mergeCell ref="D195:F195"/>
    <mergeCell ref="G195:I195"/>
    <mergeCell ref="L195:M195"/>
    <mergeCell ref="N195:O195"/>
    <mergeCell ref="B199:C199"/>
    <mergeCell ref="D199:F199"/>
    <mergeCell ref="G199:I199"/>
    <mergeCell ref="L199:M199"/>
    <mergeCell ref="N199:O199"/>
    <mergeCell ref="B193:C193"/>
    <mergeCell ref="D193:F193"/>
    <mergeCell ref="G193:I193"/>
    <mergeCell ref="L193:M193"/>
    <mergeCell ref="N193:O193"/>
    <mergeCell ref="B194:C194"/>
    <mergeCell ref="D194:F194"/>
    <mergeCell ref="G194:I194"/>
    <mergeCell ref="L194:M194"/>
    <mergeCell ref="N194:O194"/>
    <mergeCell ref="B203:C203"/>
    <mergeCell ref="D203:F203"/>
    <mergeCell ref="G203:I203"/>
    <mergeCell ref="L203:M203"/>
    <mergeCell ref="N203:O203"/>
    <mergeCell ref="B204:C204"/>
    <mergeCell ref="D204:F204"/>
    <mergeCell ref="G204:I204"/>
    <mergeCell ref="L204:M204"/>
    <mergeCell ref="N204:O204"/>
    <mergeCell ref="B201:C201"/>
    <mergeCell ref="D201:F201"/>
    <mergeCell ref="L201:M201"/>
    <mergeCell ref="N201:O201"/>
    <mergeCell ref="B202:C202"/>
    <mergeCell ref="D202:F202"/>
    <mergeCell ref="G202:I202"/>
    <mergeCell ref="L202:M202"/>
    <mergeCell ref="N202:O202"/>
    <mergeCell ref="B211:C211"/>
    <mergeCell ref="D211:F211"/>
    <mergeCell ref="L211:M211"/>
    <mergeCell ref="N211:O211"/>
    <mergeCell ref="P211:Q211"/>
    <mergeCell ref="B212:C212"/>
    <mergeCell ref="D212:F212"/>
    <mergeCell ref="L212:M212"/>
    <mergeCell ref="N212:O212"/>
    <mergeCell ref="B210:C210"/>
    <mergeCell ref="D210:F210"/>
    <mergeCell ref="G210:I210"/>
    <mergeCell ref="L210:M210"/>
    <mergeCell ref="N210:O210"/>
    <mergeCell ref="P210:X210"/>
    <mergeCell ref="B205:C205"/>
    <mergeCell ref="D205:F205"/>
    <mergeCell ref="G205:I205"/>
    <mergeCell ref="L205:M205"/>
    <mergeCell ref="N205:O205"/>
    <mergeCell ref="B206:C206"/>
    <mergeCell ref="D206:F206"/>
    <mergeCell ref="G206:I206"/>
    <mergeCell ref="L206:M206"/>
    <mergeCell ref="N206:O206"/>
    <mergeCell ref="B215:C215"/>
    <mergeCell ref="D215:F215"/>
    <mergeCell ref="G215:I215"/>
    <mergeCell ref="L215:M215"/>
    <mergeCell ref="N215:O215"/>
    <mergeCell ref="B216:C216"/>
    <mergeCell ref="D216:F216"/>
    <mergeCell ref="G216:I216"/>
    <mergeCell ref="L216:M216"/>
    <mergeCell ref="N216:O216"/>
    <mergeCell ref="B213:C213"/>
    <mergeCell ref="D213:F213"/>
    <mergeCell ref="L213:M213"/>
    <mergeCell ref="N213:O213"/>
    <mergeCell ref="B214:C214"/>
    <mergeCell ref="D214:F214"/>
    <mergeCell ref="G214:I214"/>
    <mergeCell ref="L214:M214"/>
    <mergeCell ref="N214:O214"/>
    <mergeCell ref="B224:C224"/>
    <mergeCell ref="D224:F224"/>
    <mergeCell ref="G224:I224"/>
    <mergeCell ref="L224:M224"/>
    <mergeCell ref="N224:O224"/>
    <mergeCell ref="P224:X224"/>
    <mergeCell ref="B219:C219"/>
    <mergeCell ref="D219:F219"/>
    <mergeCell ref="G219:I219"/>
    <mergeCell ref="L219:M219"/>
    <mergeCell ref="N219:O219"/>
    <mergeCell ref="B220:C220"/>
    <mergeCell ref="D220:F220"/>
    <mergeCell ref="G220:I220"/>
    <mergeCell ref="L220:M220"/>
    <mergeCell ref="N220:O220"/>
    <mergeCell ref="B217:C217"/>
    <mergeCell ref="D217:F217"/>
    <mergeCell ref="G217:I217"/>
    <mergeCell ref="L217:M217"/>
    <mergeCell ref="N217:O217"/>
    <mergeCell ref="B218:C218"/>
    <mergeCell ref="D218:F218"/>
    <mergeCell ref="G218:I218"/>
    <mergeCell ref="L218:M218"/>
    <mergeCell ref="N218:O218"/>
    <mergeCell ref="B227:C227"/>
    <mergeCell ref="D227:F227"/>
    <mergeCell ref="L227:M227"/>
    <mergeCell ref="N227:O227"/>
    <mergeCell ref="B228:C228"/>
    <mergeCell ref="D228:F228"/>
    <mergeCell ref="G228:I228"/>
    <mergeCell ref="L228:M228"/>
    <mergeCell ref="N228:O228"/>
    <mergeCell ref="B225:C225"/>
    <mergeCell ref="D225:F225"/>
    <mergeCell ref="L225:M225"/>
    <mergeCell ref="N225:O225"/>
    <mergeCell ref="P225:Q225"/>
    <mergeCell ref="B226:C226"/>
    <mergeCell ref="D226:F226"/>
    <mergeCell ref="L226:M226"/>
    <mergeCell ref="N226:O226"/>
    <mergeCell ref="P235:X235"/>
    <mergeCell ref="B236:C236"/>
    <mergeCell ref="D236:F236"/>
    <mergeCell ref="L236:M236"/>
    <mergeCell ref="N236:O236"/>
    <mergeCell ref="P236:Q236"/>
    <mergeCell ref="B231:C231"/>
    <mergeCell ref="D231:F231"/>
    <mergeCell ref="G231:I231"/>
    <mergeCell ref="L231:M231"/>
    <mergeCell ref="N231:O231"/>
    <mergeCell ref="B235:C235"/>
    <mergeCell ref="D235:F235"/>
    <mergeCell ref="G235:I235"/>
    <mergeCell ref="L235:M235"/>
    <mergeCell ref="N235:O235"/>
    <mergeCell ref="B229:C229"/>
    <mergeCell ref="D229:F229"/>
    <mergeCell ref="G229:I229"/>
    <mergeCell ref="L229:M229"/>
    <mergeCell ref="N229:O229"/>
    <mergeCell ref="B230:C230"/>
    <mergeCell ref="D230:F230"/>
    <mergeCell ref="G230:I230"/>
    <mergeCell ref="L230:M230"/>
    <mergeCell ref="N230:O230"/>
    <mergeCell ref="B239:C239"/>
    <mergeCell ref="D239:F239"/>
    <mergeCell ref="G239:I239"/>
    <mergeCell ref="L239:M239"/>
    <mergeCell ref="N239:O239"/>
    <mergeCell ref="B240:C240"/>
    <mergeCell ref="D240:F240"/>
    <mergeCell ref="G240:I240"/>
    <mergeCell ref="L240:M240"/>
    <mergeCell ref="N240:O240"/>
    <mergeCell ref="B237:C237"/>
    <mergeCell ref="D237:F237"/>
    <mergeCell ref="L237:M237"/>
    <mergeCell ref="N237:O237"/>
    <mergeCell ref="B238:C238"/>
    <mergeCell ref="D238:F238"/>
    <mergeCell ref="L238:M238"/>
    <mergeCell ref="N238:O238"/>
    <mergeCell ref="P247:X247"/>
    <mergeCell ref="B248:C248"/>
    <mergeCell ref="D248:F248"/>
    <mergeCell ref="G248:I248"/>
    <mergeCell ref="L248:M248"/>
    <mergeCell ref="N248:O248"/>
    <mergeCell ref="B243:C243"/>
    <mergeCell ref="D243:F243"/>
    <mergeCell ref="G243:I243"/>
    <mergeCell ref="L243:M243"/>
    <mergeCell ref="N243:O243"/>
    <mergeCell ref="B247:C247"/>
    <mergeCell ref="D247:F247"/>
    <mergeCell ref="G247:I247"/>
    <mergeCell ref="L247:M247"/>
    <mergeCell ref="N247:O247"/>
    <mergeCell ref="B241:C241"/>
    <mergeCell ref="D241:F241"/>
    <mergeCell ref="G241:I241"/>
    <mergeCell ref="L241:M241"/>
    <mergeCell ref="N241:O241"/>
    <mergeCell ref="B242:C242"/>
    <mergeCell ref="D242:F242"/>
    <mergeCell ref="G242:I242"/>
    <mergeCell ref="L242:M242"/>
    <mergeCell ref="N242:O242"/>
    <mergeCell ref="B251:C251"/>
    <mergeCell ref="D251:F251"/>
    <mergeCell ref="G251:I251"/>
    <mergeCell ref="L251:M251"/>
    <mergeCell ref="N251:O251"/>
    <mergeCell ref="B252:C252"/>
    <mergeCell ref="D252:F252"/>
    <mergeCell ref="G252:I252"/>
    <mergeCell ref="L252:M252"/>
    <mergeCell ref="N252:O252"/>
    <mergeCell ref="B249:C249"/>
    <mergeCell ref="D249:F249"/>
    <mergeCell ref="G249:I249"/>
    <mergeCell ref="L249:M249"/>
    <mergeCell ref="N249:O249"/>
    <mergeCell ref="B250:C250"/>
    <mergeCell ref="D250:F250"/>
    <mergeCell ref="G250:I250"/>
    <mergeCell ref="L250:M250"/>
    <mergeCell ref="N250:O250"/>
    <mergeCell ref="B255:C255"/>
    <mergeCell ref="D255:F255"/>
    <mergeCell ref="G255:I255"/>
    <mergeCell ref="L255:M255"/>
    <mergeCell ref="N255:O255"/>
    <mergeCell ref="B256:C256"/>
    <mergeCell ref="D256:F256"/>
    <mergeCell ref="G256:I256"/>
    <mergeCell ref="L256:M256"/>
    <mergeCell ref="N256:O256"/>
    <mergeCell ref="B253:C253"/>
    <mergeCell ref="D253:F253"/>
    <mergeCell ref="G253:I253"/>
    <mergeCell ref="L253:M253"/>
    <mergeCell ref="N253:O253"/>
    <mergeCell ref="B254:C254"/>
    <mergeCell ref="D254:F254"/>
    <mergeCell ref="G254:I254"/>
    <mergeCell ref="L254:M254"/>
    <mergeCell ref="N254:O254"/>
    <mergeCell ref="B259:C259"/>
    <mergeCell ref="D259:F259"/>
    <mergeCell ref="G259:I259"/>
    <mergeCell ref="L259:M259"/>
    <mergeCell ref="N259:O259"/>
    <mergeCell ref="B260:C260"/>
    <mergeCell ref="D260:F260"/>
    <mergeCell ref="G260:I260"/>
    <mergeCell ref="L260:M260"/>
    <mergeCell ref="N260:O260"/>
    <mergeCell ref="B257:C257"/>
    <mergeCell ref="D257:F257"/>
    <mergeCell ref="G257:I257"/>
    <mergeCell ref="L257:M257"/>
    <mergeCell ref="N257:O257"/>
    <mergeCell ref="B258:C258"/>
    <mergeCell ref="D258:F258"/>
    <mergeCell ref="G258:I258"/>
    <mergeCell ref="L258:M258"/>
    <mergeCell ref="N258:O258"/>
    <mergeCell ref="B265:C265"/>
    <mergeCell ref="D265:F265"/>
    <mergeCell ref="G265:I265"/>
    <mergeCell ref="J265:K265"/>
    <mergeCell ref="L265:M265"/>
    <mergeCell ref="N265:O265"/>
    <mergeCell ref="B263:C263"/>
    <mergeCell ref="D263:F263"/>
    <mergeCell ref="G263:I263"/>
    <mergeCell ref="L263:M263"/>
    <mergeCell ref="N263:O263"/>
    <mergeCell ref="B264:C264"/>
    <mergeCell ref="D264:F264"/>
    <mergeCell ref="G264:I264"/>
    <mergeCell ref="L264:M264"/>
    <mergeCell ref="N264:O264"/>
    <mergeCell ref="B261:C261"/>
    <mergeCell ref="D261:F261"/>
    <mergeCell ref="G261:I261"/>
    <mergeCell ref="L261:M261"/>
    <mergeCell ref="N261:O261"/>
    <mergeCell ref="B262:C262"/>
    <mergeCell ref="D262:F262"/>
    <mergeCell ref="G262:I262"/>
    <mergeCell ref="L262:M262"/>
    <mergeCell ref="N262:O262"/>
    <mergeCell ref="B287:C287"/>
    <mergeCell ref="D287:F287"/>
    <mergeCell ref="G287:I287"/>
    <mergeCell ref="L287:M287"/>
    <mergeCell ref="N287:O287"/>
    <mergeCell ref="P287:Q287"/>
    <mergeCell ref="P285:X285"/>
    <mergeCell ref="B286:C286"/>
    <mergeCell ref="D286:F286"/>
    <mergeCell ref="G286:I286"/>
    <mergeCell ref="L286:M286"/>
    <mergeCell ref="N286:O286"/>
    <mergeCell ref="P286:Q286"/>
    <mergeCell ref="J266:M266"/>
    <mergeCell ref="N266:O266"/>
    <mergeCell ref="B285:C285"/>
    <mergeCell ref="D285:F285"/>
    <mergeCell ref="G285:I285"/>
    <mergeCell ref="L285:M285"/>
    <mergeCell ref="N285:O285"/>
    <mergeCell ref="B292:C292"/>
    <mergeCell ref="D292:F292"/>
    <mergeCell ref="G292:I292"/>
    <mergeCell ref="L292:M292"/>
    <mergeCell ref="N292:O292"/>
    <mergeCell ref="P292:Q292"/>
    <mergeCell ref="B290:C290"/>
    <mergeCell ref="D290:F290"/>
    <mergeCell ref="G290:I290"/>
    <mergeCell ref="L290:M290"/>
    <mergeCell ref="N290:O290"/>
    <mergeCell ref="B291:C291"/>
    <mergeCell ref="D291:F291"/>
    <mergeCell ref="G291:I291"/>
    <mergeCell ref="L291:M291"/>
    <mergeCell ref="N291:O291"/>
    <mergeCell ref="B288:C288"/>
    <mergeCell ref="D288:F288"/>
    <mergeCell ref="G288:I288"/>
    <mergeCell ref="L288:M288"/>
    <mergeCell ref="N288:O288"/>
    <mergeCell ref="B289:C289"/>
    <mergeCell ref="D289:F289"/>
    <mergeCell ref="G289:I289"/>
    <mergeCell ref="L289:M289"/>
    <mergeCell ref="N289:O289"/>
    <mergeCell ref="P299:X299"/>
    <mergeCell ref="B300:C300"/>
    <mergeCell ref="D300:F300"/>
    <mergeCell ref="L300:M300"/>
    <mergeCell ref="N300:O300"/>
    <mergeCell ref="P300:Q300"/>
    <mergeCell ref="B295:C295"/>
    <mergeCell ref="D295:F295"/>
    <mergeCell ref="G295:I295"/>
    <mergeCell ref="L295:M295"/>
    <mergeCell ref="N295:O295"/>
    <mergeCell ref="B299:C299"/>
    <mergeCell ref="D299:F299"/>
    <mergeCell ref="G299:I299"/>
    <mergeCell ref="L299:M299"/>
    <mergeCell ref="N299:O299"/>
    <mergeCell ref="B293:C293"/>
    <mergeCell ref="D293:F293"/>
    <mergeCell ref="G293:I293"/>
    <mergeCell ref="L293:M293"/>
    <mergeCell ref="N293:O293"/>
    <mergeCell ref="B294:C294"/>
    <mergeCell ref="D294:F294"/>
    <mergeCell ref="G294:I294"/>
    <mergeCell ref="L294:M294"/>
    <mergeCell ref="N294:O294"/>
    <mergeCell ref="B303:C303"/>
    <mergeCell ref="D303:F303"/>
    <mergeCell ref="G303:I303"/>
    <mergeCell ref="L303:M303"/>
    <mergeCell ref="N303:O303"/>
    <mergeCell ref="B304:C304"/>
    <mergeCell ref="D304:F304"/>
    <mergeCell ref="G304:I304"/>
    <mergeCell ref="L304:M304"/>
    <mergeCell ref="N304:O304"/>
    <mergeCell ref="B301:C301"/>
    <mergeCell ref="D301:F301"/>
    <mergeCell ref="L301:M301"/>
    <mergeCell ref="N301:O301"/>
    <mergeCell ref="B302:C302"/>
    <mergeCell ref="D302:F302"/>
    <mergeCell ref="L302:M302"/>
    <mergeCell ref="N302:O302"/>
    <mergeCell ref="B311:C311"/>
    <mergeCell ref="D311:F311"/>
    <mergeCell ref="G311:I311"/>
    <mergeCell ref="L311:M311"/>
    <mergeCell ref="N311:O311"/>
    <mergeCell ref="P311:X311"/>
    <mergeCell ref="B307:C307"/>
    <mergeCell ref="D307:F307"/>
    <mergeCell ref="G307:I307"/>
    <mergeCell ref="L307:M307"/>
    <mergeCell ref="N307:O307"/>
    <mergeCell ref="B308:C308"/>
    <mergeCell ref="D308:F308"/>
    <mergeCell ref="G308:I308"/>
    <mergeCell ref="L308:M308"/>
    <mergeCell ref="N308:O308"/>
    <mergeCell ref="B305:C305"/>
    <mergeCell ref="D305:F305"/>
    <mergeCell ref="G305:I305"/>
    <mergeCell ref="L305:M305"/>
    <mergeCell ref="N305:O305"/>
    <mergeCell ref="B306:C306"/>
    <mergeCell ref="D306:F306"/>
    <mergeCell ref="G306:I306"/>
    <mergeCell ref="L306:M306"/>
    <mergeCell ref="N306:O306"/>
    <mergeCell ref="B316:C316"/>
    <mergeCell ref="D316:F316"/>
    <mergeCell ref="G316:I316"/>
    <mergeCell ref="L316:M316"/>
    <mergeCell ref="N316:O316"/>
    <mergeCell ref="P316:Q316"/>
    <mergeCell ref="B314:C314"/>
    <mergeCell ref="D314:F314"/>
    <mergeCell ref="G314:I314"/>
    <mergeCell ref="L314:M314"/>
    <mergeCell ref="N314:O314"/>
    <mergeCell ref="B315:C315"/>
    <mergeCell ref="D315:F315"/>
    <mergeCell ref="G315:I315"/>
    <mergeCell ref="L315:M315"/>
    <mergeCell ref="N315:O315"/>
    <mergeCell ref="B312:C312"/>
    <mergeCell ref="D312:F312"/>
    <mergeCell ref="L312:M312"/>
    <mergeCell ref="N312:O312"/>
    <mergeCell ref="P312:Q312"/>
    <mergeCell ref="B313:C313"/>
    <mergeCell ref="D313:F313"/>
    <mergeCell ref="G313:I313"/>
    <mergeCell ref="L313:M313"/>
    <mergeCell ref="N313:O313"/>
    <mergeCell ref="B322:C322"/>
    <mergeCell ref="D322:F322"/>
    <mergeCell ref="G322:I322"/>
    <mergeCell ref="L322:M322"/>
    <mergeCell ref="N322:O322"/>
    <mergeCell ref="B323:C323"/>
    <mergeCell ref="D323:F323"/>
    <mergeCell ref="G323:I323"/>
    <mergeCell ref="L323:M323"/>
    <mergeCell ref="N323:O323"/>
    <mergeCell ref="P320:X320"/>
    <mergeCell ref="B321:C321"/>
    <mergeCell ref="D321:F321"/>
    <mergeCell ref="L321:M321"/>
    <mergeCell ref="N321:O321"/>
    <mergeCell ref="P321:Q321"/>
    <mergeCell ref="B317:C317"/>
    <mergeCell ref="D317:F317"/>
    <mergeCell ref="G317:I317"/>
    <mergeCell ref="L317:M317"/>
    <mergeCell ref="N317:O317"/>
    <mergeCell ref="B320:C320"/>
    <mergeCell ref="D320:F320"/>
    <mergeCell ref="G320:I320"/>
    <mergeCell ref="L320:M320"/>
    <mergeCell ref="N320:O320"/>
    <mergeCell ref="P330:X330"/>
    <mergeCell ref="P325:Q325"/>
    <mergeCell ref="B326:C326"/>
    <mergeCell ref="D326:F326"/>
    <mergeCell ref="G326:I326"/>
    <mergeCell ref="L326:M326"/>
    <mergeCell ref="N326:O326"/>
    <mergeCell ref="B324:C324"/>
    <mergeCell ref="D324:F324"/>
    <mergeCell ref="G324:I324"/>
    <mergeCell ref="L324:M324"/>
    <mergeCell ref="N324:O324"/>
    <mergeCell ref="B325:C325"/>
    <mergeCell ref="D325:F325"/>
    <mergeCell ref="G325:I325"/>
    <mergeCell ref="L325:M325"/>
    <mergeCell ref="N325:O325"/>
    <mergeCell ref="B333:C333"/>
    <mergeCell ref="D333:F333"/>
    <mergeCell ref="G333:I333"/>
    <mergeCell ref="L333:M333"/>
    <mergeCell ref="N333:O333"/>
    <mergeCell ref="B331:C331"/>
    <mergeCell ref="D331:F331"/>
    <mergeCell ref="G331:I331"/>
    <mergeCell ref="L331:M331"/>
    <mergeCell ref="N331:O331"/>
    <mergeCell ref="B332:C332"/>
    <mergeCell ref="D332:F332"/>
    <mergeCell ref="G332:I332"/>
    <mergeCell ref="L332:M332"/>
    <mergeCell ref="N332:O332"/>
    <mergeCell ref="B330:C330"/>
    <mergeCell ref="D330:F330"/>
    <mergeCell ref="G330:I330"/>
    <mergeCell ref="L330:M330"/>
    <mergeCell ref="N330:O330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W55"/>
  <sheetViews>
    <sheetView workbookViewId="0">
      <selection activeCell="I25" sqref="I25"/>
    </sheetView>
  </sheetViews>
  <sheetFormatPr defaultColWidth="1.375" defaultRowHeight="13.5"/>
  <cols>
    <col min="1" max="1" width="1.875" style="220" customWidth="1"/>
    <col min="2" max="5" width="5.625" style="220" customWidth="1"/>
    <col min="6" max="7" width="8.625" style="221" customWidth="1"/>
    <col min="8" max="8" width="6.25" style="222" customWidth="1"/>
    <col min="9" max="9" width="6.625" style="221" customWidth="1"/>
    <col min="10" max="10" width="6.875" style="223" customWidth="1"/>
    <col min="11" max="256" width="1.375" style="220"/>
    <col min="257" max="257" width="1.875" style="220" customWidth="1"/>
    <col min="258" max="261" width="5.625" style="220" customWidth="1"/>
    <col min="262" max="263" width="8.625" style="220" customWidth="1"/>
    <col min="264" max="264" width="6.25" style="220" customWidth="1"/>
    <col min="265" max="265" width="6.625" style="220" customWidth="1"/>
    <col min="266" max="266" width="6.875" style="220" customWidth="1"/>
    <col min="267" max="512" width="1.375" style="220"/>
    <col min="513" max="513" width="1.875" style="220" customWidth="1"/>
    <col min="514" max="517" width="5.625" style="220" customWidth="1"/>
    <col min="518" max="519" width="8.625" style="220" customWidth="1"/>
    <col min="520" max="520" width="6.25" style="220" customWidth="1"/>
    <col min="521" max="521" width="6.625" style="220" customWidth="1"/>
    <col min="522" max="522" width="6.875" style="220" customWidth="1"/>
    <col min="523" max="768" width="1.375" style="220"/>
    <col min="769" max="769" width="1.875" style="220" customWidth="1"/>
    <col min="770" max="773" width="5.625" style="220" customWidth="1"/>
    <col min="774" max="775" width="8.625" style="220" customWidth="1"/>
    <col min="776" max="776" width="6.25" style="220" customWidth="1"/>
    <col min="777" max="777" width="6.625" style="220" customWidth="1"/>
    <col min="778" max="778" width="6.875" style="220" customWidth="1"/>
    <col min="779" max="1024" width="1.375" style="220"/>
    <col min="1025" max="1025" width="1.875" style="220" customWidth="1"/>
    <col min="1026" max="1029" width="5.625" style="220" customWidth="1"/>
    <col min="1030" max="1031" width="8.625" style="220" customWidth="1"/>
    <col min="1032" max="1032" width="6.25" style="220" customWidth="1"/>
    <col min="1033" max="1033" width="6.625" style="220" customWidth="1"/>
    <col min="1034" max="1034" width="6.875" style="220" customWidth="1"/>
    <col min="1035" max="1280" width="1.375" style="220"/>
    <col min="1281" max="1281" width="1.875" style="220" customWidth="1"/>
    <col min="1282" max="1285" width="5.625" style="220" customWidth="1"/>
    <col min="1286" max="1287" width="8.625" style="220" customWidth="1"/>
    <col min="1288" max="1288" width="6.25" style="220" customWidth="1"/>
    <col min="1289" max="1289" width="6.625" style="220" customWidth="1"/>
    <col min="1290" max="1290" width="6.875" style="220" customWidth="1"/>
    <col min="1291" max="1536" width="1.375" style="220"/>
    <col min="1537" max="1537" width="1.875" style="220" customWidth="1"/>
    <col min="1538" max="1541" width="5.625" style="220" customWidth="1"/>
    <col min="1542" max="1543" width="8.625" style="220" customWidth="1"/>
    <col min="1544" max="1544" width="6.25" style="220" customWidth="1"/>
    <col min="1545" max="1545" width="6.625" style="220" customWidth="1"/>
    <col min="1546" max="1546" width="6.875" style="220" customWidth="1"/>
    <col min="1547" max="1792" width="1.375" style="220"/>
    <col min="1793" max="1793" width="1.875" style="220" customWidth="1"/>
    <col min="1794" max="1797" width="5.625" style="220" customWidth="1"/>
    <col min="1798" max="1799" width="8.625" style="220" customWidth="1"/>
    <col min="1800" max="1800" width="6.25" style="220" customWidth="1"/>
    <col min="1801" max="1801" width="6.625" style="220" customWidth="1"/>
    <col min="1802" max="1802" width="6.875" style="220" customWidth="1"/>
    <col min="1803" max="2048" width="1.375" style="220"/>
    <col min="2049" max="2049" width="1.875" style="220" customWidth="1"/>
    <col min="2050" max="2053" width="5.625" style="220" customWidth="1"/>
    <col min="2054" max="2055" width="8.625" style="220" customWidth="1"/>
    <col min="2056" max="2056" width="6.25" style="220" customWidth="1"/>
    <col min="2057" max="2057" width="6.625" style="220" customWidth="1"/>
    <col min="2058" max="2058" width="6.875" style="220" customWidth="1"/>
    <col min="2059" max="2304" width="1.375" style="220"/>
    <col min="2305" max="2305" width="1.875" style="220" customWidth="1"/>
    <col min="2306" max="2309" width="5.625" style="220" customWidth="1"/>
    <col min="2310" max="2311" width="8.625" style="220" customWidth="1"/>
    <col min="2312" max="2312" width="6.25" style="220" customWidth="1"/>
    <col min="2313" max="2313" width="6.625" style="220" customWidth="1"/>
    <col min="2314" max="2314" width="6.875" style="220" customWidth="1"/>
    <col min="2315" max="2560" width="1.375" style="220"/>
    <col min="2561" max="2561" width="1.875" style="220" customWidth="1"/>
    <col min="2562" max="2565" width="5.625" style="220" customWidth="1"/>
    <col min="2566" max="2567" width="8.625" style="220" customWidth="1"/>
    <col min="2568" max="2568" width="6.25" style="220" customWidth="1"/>
    <col min="2569" max="2569" width="6.625" style="220" customWidth="1"/>
    <col min="2570" max="2570" width="6.875" style="220" customWidth="1"/>
    <col min="2571" max="2816" width="1.375" style="220"/>
    <col min="2817" max="2817" width="1.875" style="220" customWidth="1"/>
    <col min="2818" max="2821" width="5.625" style="220" customWidth="1"/>
    <col min="2822" max="2823" width="8.625" style="220" customWidth="1"/>
    <col min="2824" max="2824" width="6.25" style="220" customWidth="1"/>
    <col min="2825" max="2825" width="6.625" style="220" customWidth="1"/>
    <col min="2826" max="2826" width="6.875" style="220" customWidth="1"/>
    <col min="2827" max="3072" width="1.375" style="220"/>
    <col min="3073" max="3073" width="1.875" style="220" customWidth="1"/>
    <col min="3074" max="3077" width="5.625" style="220" customWidth="1"/>
    <col min="3078" max="3079" width="8.625" style="220" customWidth="1"/>
    <col min="3080" max="3080" width="6.25" style="220" customWidth="1"/>
    <col min="3081" max="3081" width="6.625" style="220" customWidth="1"/>
    <col min="3082" max="3082" width="6.875" style="220" customWidth="1"/>
    <col min="3083" max="3328" width="1.375" style="220"/>
    <col min="3329" max="3329" width="1.875" style="220" customWidth="1"/>
    <col min="3330" max="3333" width="5.625" style="220" customWidth="1"/>
    <col min="3334" max="3335" width="8.625" style="220" customWidth="1"/>
    <col min="3336" max="3336" width="6.25" style="220" customWidth="1"/>
    <col min="3337" max="3337" width="6.625" style="220" customWidth="1"/>
    <col min="3338" max="3338" width="6.875" style="220" customWidth="1"/>
    <col min="3339" max="3584" width="1.375" style="220"/>
    <col min="3585" max="3585" width="1.875" style="220" customWidth="1"/>
    <col min="3586" max="3589" width="5.625" style="220" customWidth="1"/>
    <col min="3590" max="3591" width="8.625" style="220" customWidth="1"/>
    <col min="3592" max="3592" width="6.25" style="220" customWidth="1"/>
    <col min="3593" max="3593" width="6.625" style="220" customWidth="1"/>
    <col min="3594" max="3594" width="6.875" style="220" customWidth="1"/>
    <col min="3595" max="3840" width="1.375" style="220"/>
    <col min="3841" max="3841" width="1.875" style="220" customWidth="1"/>
    <col min="3842" max="3845" width="5.625" style="220" customWidth="1"/>
    <col min="3846" max="3847" width="8.625" style="220" customWidth="1"/>
    <col min="3848" max="3848" width="6.25" style="220" customWidth="1"/>
    <col min="3849" max="3849" width="6.625" style="220" customWidth="1"/>
    <col min="3850" max="3850" width="6.875" style="220" customWidth="1"/>
    <col min="3851" max="4096" width="1.375" style="220"/>
    <col min="4097" max="4097" width="1.875" style="220" customWidth="1"/>
    <col min="4098" max="4101" width="5.625" style="220" customWidth="1"/>
    <col min="4102" max="4103" width="8.625" style="220" customWidth="1"/>
    <col min="4104" max="4104" width="6.25" style="220" customWidth="1"/>
    <col min="4105" max="4105" width="6.625" style="220" customWidth="1"/>
    <col min="4106" max="4106" width="6.875" style="220" customWidth="1"/>
    <col min="4107" max="4352" width="1.375" style="220"/>
    <col min="4353" max="4353" width="1.875" style="220" customWidth="1"/>
    <col min="4354" max="4357" width="5.625" style="220" customWidth="1"/>
    <col min="4358" max="4359" width="8.625" style="220" customWidth="1"/>
    <col min="4360" max="4360" width="6.25" style="220" customWidth="1"/>
    <col min="4361" max="4361" width="6.625" style="220" customWidth="1"/>
    <col min="4362" max="4362" width="6.875" style="220" customWidth="1"/>
    <col min="4363" max="4608" width="1.375" style="220"/>
    <col min="4609" max="4609" width="1.875" style="220" customWidth="1"/>
    <col min="4610" max="4613" width="5.625" style="220" customWidth="1"/>
    <col min="4614" max="4615" width="8.625" style="220" customWidth="1"/>
    <col min="4616" max="4616" width="6.25" style="220" customWidth="1"/>
    <col min="4617" max="4617" width="6.625" style="220" customWidth="1"/>
    <col min="4618" max="4618" width="6.875" style="220" customWidth="1"/>
    <col min="4619" max="4864" width="1.375" style="220"/>
    <col min="4865" max="4865" width="1.875" style="220" customWidth="1"/>
    <col min="4866" max="4869" width="5.625" style="220" customWidth="1"/>
    <col min="4870" max="4871" width="8.625" style="220" customWidth="1"/>
    <col min="4872" max="4872" width="6.25" style="220" customWidth="1"/>
    <col min="4873" max="4873" width="6.625" style="220" customWidth="1"/>
    <col min="4874" max="4874" width="6.875" style="220" customWidth="1"/>
    <col min="4875" max="5120" width="1.375" style="220"/>
    <col min="5121" max="5121" width="1.875" style="220" customWidth="1"/>
    <col min="5122" max="5125" width="5.625" style="220" customWidth="1"/>
    <col min="5126" max="5127" width="8.625" style="220" customWidth="1"/>
    <col min="5128" max="5128" width="6.25" style="220" customWidth="1"/>
    <col min="5129" max="5129" width="6.625" style="220" customWidth="1"/>
    <col min="5130" max="5130" width="6.875" style="220" customWidth="1"/>
    <col min="5131" max="5376" width="1.375" style="220"/>
    <col min="5377" max="5377" width="1.875" style="220" customWidth="1"/>
    <col min="5378" max="5381" width="5.625" style="220" customWidth="1"/>
    <col min="5382" max="5383" width="8.625" style="220" customWidth="1"/>
    <col min="5384" max="5384" width="6.25" style="220" customWidth="1"/>
    <col min="5385" max="5385" width="6.625" style="220" customWidth="1"/>
    <col min="5386" max="5386" width="6.875" style="220" customWidth="1"/>
    <col min="5387" max="5632" width="1.375" style="220"/>
    <col min="5633" max="5633" width="1.875" style="220" customWidth="1"/>
    <col min="5634" max="5637" width="5.625" style="220" customWidth="1"/>
    <col min="5638" max="5639" width="8.625" style="220" customWidth="1"/>
    <col min="5640" max="5640" width="6.25" style="220" customWidth="1"/>
    <col min="5641" max="5641" width="6.625" style="220" customWidth="1"/>
    <col min="5642" max="5642" width="6.875" style="220" customWidth="1"/>
    <col min="5643" max="5888" width="1.375" style="220"/>
    <col min="5889" max="5889" width="1.875" style="220" customWidth="1"/>
    <col min="5890" max="5893" width="5.625" style="220" customWidth="1"/>
    <col min="5894" max="5895" width="8.625" style="220" customWidth="1"/>
    <col min="5896" max="5896" width="6.25" style="220" customWidth="1"/>
    <col min="5897" max="5897" width="6.625" style="220" customWidth="1"/>
    <col min="5898" max="5898" width="6.875" style="220" customWidth="1"/>
    <col min="5899" max="6144" width="1.375" style="220"/>
    <col min="6145" max="6145" width="1.875" style="220" customWidth="1"/>
    <col min="6146" max="6149" width="5.625" style="220" customWidth="1"/>
    <col min="6150" max="6151" width="8.625" style="220" customWidth="1"/>
    <col min="6152" max="6152" width="6.25" style="220" customWidth="1"/>
    <col min="6153" max="6153" width="6.625" style="220" customWidth="1"/>
    <col min="6154" max="6154" width="6.875" style="220" customWidth="1"/>
    <col min="6155" max="6400" width="1.375" style="220"/>
    <col min="6401" max="6401" width="1.875" style="220" customWidth="1"/>
    <col min="6402" max="6405" width="5.625" style="220" customWidth="1"/>
    <col min="6406" max="6407" width="8.625" style="220" customWidth="1"/>
    <col min="6408" max="6408" width="6.25" style="220" customWidth="1"/>
    <col min="6409" max="6409" width="6.625" style="220" customWidth="1"/>
    <col min="6410" max="6410" width="6.875" style="220" customWidth="1"/>
    <col min="6411" max="6656" width="1.375" style="220"/>
    <col min="6657" max="6657" width="1.875" style="220" customWidth="1"/>
    <col min="6658" max="6661" width="5.625" style="220" customWidth="1"/>
    <col min="6662" max="6663" width="8.625" style="220" customWidth="1"/>
    <col min="6664" max="6664" width="6.25" style="220" customWidth="1"/>
    <col min="6665" max="6665" width="6.625" style="220" customWidth="1"/>
    <col min="6666" max="6666" width="6.875" style="220" customWidth="1"/>
    <col min="6667" max="6912" width="1.375" style="220"/>
    <col min="6913" max="6913" width="1.875" style="220" customWidth="1"/>
    <col min="6914" max="6917" width="5.625" style="220" customWidth="1"/>
    <col min="6918" max="6919" width="8.625" style="220" customWidth="1"/>
    <col min="6920" max="6920" width="6.25" style="220" customWidth="1"/>
    <col min="6921" max="6921" width="6.625" style="220" customWidth="1"/>
    <col min="6922" max="6922" width="6.875" style="220" customWidth="1"/>
    <col min="6923" max="7168" width="1.375" style="220"/>
    <col min="7169" max="7169" width="1.875" style="220" customWidth="1"/>
    <col min="7170" max="7173" width="5.625" style="220" customWidth="1"/>
    <col min="7174" max="7175" width="8.625" style="220" customWidth="1"/>
    <col min="7176" max="7176" width="6.25" style="220" customWidth="1"/>
    <col min="7177" max="7177" width="6.625" style="220" customWidth="1"/>
    <col min="7178" max="7178" width="6.875" style="220" customWidth="1"/>
    <col min="7179" max="7424" width="1.375" style="220"/>
    <col min="7425" max="7425" width="1.875" style="220" customWidth="1"/>
    <col min="7426" max="7429" width="5.625" style="220" customWidth="1"/>
    <col min="7430" max="7431" width="8.625" style="220" customWidth="1"/>
    <col min="7432" max="7432" width="6.25" style="220" customWidth="1"/>
    <col min="7433" max="7433" width="6.625" style="220" customWidth="1"/>
    <col min="7434" max="7434" width="6.875" style="220" customWidth="1"/>
    <col min="7435" max="7680" width="1.375" style="220"/>
    <col min="7681" max="7681" width="1.875" style="220" customWidth="1"/>
    <col min="7682" max="7685" width="5.625" style="220" customWidth="1"/>
    <col min="7686" max="7687" width="8.625" style="220" customWidth="1"/>
    <col min="7688" max="7688" width="6.25" style="220" customWidth="1"/>
    <col min="7689" max="7689" width="6.625" style="220" customWidth="1"/>
    <col min="7690" max="7690" width="6.875" style="220" customWidth="1"/>
    <col min="7691" max="7936" width="1.375" style="220"/>
    <col min="7937" max="7937" width="1.875" style="220" customWidth="1"/>
    <col min="7938" max="7941" width="5.625" style="220" customWidth="1"/>
    <col min="7942" max="7943" width="8.625" style="220" customWidth="1"/>
    <col min="7944" max="7944" width="6.25" style="220" customWidth="1"/>
    <col min="7945" max="7945" width="6.625" style="220" customWidth="1"/>
    <col min="7946" max="7946" width="6.875" style="220" customWidth="1"/>
    <col min="7947" max="8192" width="1.375" style="220"/>
    <col min="8193" max="8193" width="1.875" style="220" customWidth="1"/>
    <col min="8194" max="8197" width="5.625" style="220" customWidth="1"/>
    <col min="8198" max="8199" width="8.625" style="220" customWidth="1"/>
    <col min="8200" max="8200" width="6.25" style="220" customWidth="1"/>
    <col min="8201" max="8201" width="6.625" style="220" customWidth="1"/>
    <col min="8202" max="8202" width="6.875" style="220" customWidth="1"/>
    <col min="8203" max="8448" width="1.375" style="220"/>
    <col min="8449" max="8449" width="1.875" style="220" customWidth="1"/>
    <col min="8450" max="8453" width="5.625" style="220" customWidth="1"/>
    <col min="8454" max="8455" width="8.625" style="220" customWidth="1"/>
    <col min="8456" max="8456" width="6.25" style="220" customWidth="1"/>
    <col min="8457" max="8457" width="6.625" style="220" customWidth="1"/>
    <col min="8458" max="8458" width="6.875" style="220" customWidth="1"/>
    <col min="8459" max="8704" width="1.375" style="220"/>
    <col min="8705" max="8705" width="1.875" style="220" customWidth="1"/>
    <col min="8706" max="8709" width="5.625" style="220" customWidth="1"/>
    <col min="8710" max="8711" width="8.625" style="220" customWidth="1"/>
    <col min="8712" max="8712" width="6.25" style="220" customWidth="1"/>
    <col min="8713" max="8713" width="6.625" style="220" customWidth="1"/>
    <col min="8714" max="8714" width="6.875" style="220" customWidth="1"/>
    <col min="8715" max="8960" width="1.375" style="220"/>
    <col min="8961" max="8961" width="1.875" style="220" customWidth="1"/>
    <col min="8962" max="8965" width="5.625" style="220" customWidth="1"/>
    <col min="8966" max="8967" width="8.625" style="220" customWidth="1"/>
    <col min="8968" max="8968" width="6.25" style="220" customWidth="1"/>
    <col min="8969" max="8969" width="6.625" style="220" customWidth="1"/>
    <col min="8970" max="8970" width="6.875" style="220" customWidth="1"/>
    <col min="8971" max="9216" width="1.375" style="220"/>
    <col min="9217" max="9217" width="1.875" style="220" customWidth="1"/>
    <col min="9218" max="9221" width="5.625" style="220" customWidth="1"/>
    <col min="9222" max="9223" width="8.625" style="220" customWidth="1"/>
    <col min="9224" max="9224" width="6.25" style="220" customWidth="1"/>
    <col min="9225" max="9225" width="6.625" style="220" customWidth="1"/>
    <col min="9226" max="9226" width="6.875" style="220" customWidth="1"/>
    <col min="9227" max="9472" width="1.375" style="220"/>
    <col min="9473" max="9473" width="1.875" style="220" customWidth="1"/>
    <col min="9474" max="9477" width="5.625" style="220" customWidth="1"/>
    <col min="9478" max="9479" width="8.625" style="220" customWidth="1"/>
    <col min="9480" max="9480" width="6.25" style="220" customWidth="1"/>
    <col min="9481" max="9481" width="6.625" style="220" customWidth="1"/>
    <col min="9482" max="9482" width="6.875" style="220" customWidth="1"/>
    <col min="9483" max="9728" width="1.375" style="220"/>
    <col min="9729" max="9729" width="1.875" style="220" customWidth="1"/>
    <col min="9730" max="9733" width="5.625" style="220" customWidth="1"/>
    <col min="9734" max="9735" width="8.625" style="220" customWidth="1"/>
    <col min="9736" max="9736" width="6.25" style="220" customWidth="1"/>
    <col min="9737" max="9737" width="6.625" style="220" customWidth="1"/>
    <col min="9738" max="9738" width="6.875" style="220" customWidth="1"/>
    <col min="9739" max="9984" width="1.375" style="220"/>
    <col min="9985" max="9985" width="1.875" style="220" customWidth="1"/>
    <col min="9986" max="9989" width="5.625" style="220" customWidth="1"/>
    <col min="9990" max="9991" width="8.625" style="220" customWidth="1"/>
    <col min="9992" max="9992" width="6.25" style="220" customWidth="1"/>
    <col min="9993" max="9993" width="6.625" style="220" customWidth="1"/>
    <col min="9994" max="9994" width="6.875" style="220" customWidth="1"/>
    <col min="9995" max="10240" width="1.375" style="220"/>
    <col min="10241" max="10241" width="1.875" style="220" customWidth="1"/>
    <col min="10242" max="10245" width="5.625" style="220" customWidth="1"/>
    <col min="10246" max="10247" width="8.625" style="220" customWidth="1"/>
    <col min="10248" max="10248" width="6.25" style="220" customWidth="1"/>
    <col min="10249" max="10249" width="6.625" style="220" customWidth="1"/>
    <col min="10250" max="10250" width="6.875" style="220" customWidth="1"/>
    <col min="10251" max="10496" width="1.375" style="220"/>
    <col min="10497" max="10497" width="1.875" style="220" customWidth="1"/>
    <col min="10498" max="10501" width="5.625" style="220" customWidth="1"/>
    <col min="10502" max="10503" width="8.625" style="220" customWidth="1"/>
    <col min="10504" max="10504" width="6.25" style="220" customWidth="1"/>
    <col min="10505" max="10505" width="6.625" style="220" customWidth="1"/>
    <col min="10506" max="10506" width="6.875" style="220" customWidth="1"/>
    <col min="10507" max="10752" width="1.375" style="220"/>
    <col min="10753" max="10753" width="1.875" style="220" customWidth="1"/>
    <col min="10754" max="10757" width="5.625" style="220" customWidth="1"/>
    <col min="10758" max="10759" width="8.625" style="220" customWidth="1"/>
    <col min="10760" max="10760" width="6.25" style="220" customWidth="1"/>
    <col min="10761" max="10761" width="6.625" style="220" customWidth="1"/>
    <col min="10762" max="10762" width="6.875" style="220" customWidth="1"/>
    <col min="10763" max="11008" width="1.375" style="220"/>
    <col min="11009" max="11009" width="1.875" style="220" customWidth="1"/>
    <col min="11010" max="11013" width="5.625" style="220" customWidth="1"/>
    <col min="11014" max="11015" width="8.625" style="220" customWidth="1"/>
    <col min="11016" max="11016" width="6.25" style="220" customWidth="1"/>
    <col min="11017" max="11017" width="6.625" style="220" customWidth="1"/>
    <col min="11018" max="11018" width="6.875" style="220" customWidth="1"/>
    <col min="11019" max="11264" width="1.375" style="220"/>
    <col min="11265" max="11265" width="1.875" style="220" customWidth="1"/>
    <col min="11266" max="11269" width="5.625" style="220" customWidth="1"/>
    <col min="11270" max="11271" width="8.625" style="220" customWidth="1"/>
    <col min="11272" max="11272" width="6.25" style="220" customWidth="1"/>
    <col min="11273" max="11273" width="6.625" style="220" customWidth="1"/>
    <col min="11274" max="11274" width="6.875" style="220" customWidth="1"/>
    <col min="11275" max="11520" width="1.375" style="220"/>
    <col min="11521" max="11521" width="1.875" style="220" customWidth="1"/>
    <col min="11522" max="11525" width="5.625" style="220" customWidth="1"/>
    <col min="11526" max="11527" width="8.625" style="220" customWidth="1"/>
    <col min="11528" max="11528" width="6.25" style="220" customWidth="1"/>
    <col min="11529" max="11529" width="6.625" style="220" customWidth="1"/>
    <col min="11530" max="11530" width="6.875" style="220" customWidth="1"/>
    <col min="11531" max="11776" width="1.375" style="220"/>
    <col min="11777" max="11777" width="1.875" style="220" customWidth="1"/>
    <col min="11778" max="11781" width="5.625" style="220" customWidth="1"/>
    <col min="11782" max="11783" width="8.625" style="220" customWidth="1"/>
    <col min="11784" max="11784" width="6.25" style="220" customWidth="1"/>
    <col min="11785" max="11785" width="6.625" style="220" customWidth="1"/>
    <col min="11786" max="11786" width="6.875" style="220" customWidth="1"/>
    <col min="11787" max="12032" width="1.375" style="220"/>
    <col min="12033" max="12033" width="1.875" style="220" customWidth="1"/>
    <col min="12034" max="12037" width="5.625" style="220" customWidth="1"/>
    <col min="12038" max="12039" width="8.625" style="220" customWidth="1"/>
    <col min="12040" max="12040" width="6.25" style="220" customWidth="1"/>
    <col min="12041" max="12041" width="6.625" style="220" customWidth="1"/>
    <col min="12042" max="12042" width="6.875" style="220" customWidth="1"/>
    <col min="12043" max="12288" width="1.375" style="220"/>
    <col min="12289" max="12289" width="1.875" style="220" customWidth="1"/>
    <col min="12290" max="12293" width="5.625" style="220" customWidth="1"/>
    <col min="12294" max="12295" width="8.625" style="220" customWidth="1"/>
    <col min="12296" max="12296" width="6.25" style="220" customWidth="1"/>
    <col min="12297" max="12297" width="6.625" style="220" customWidth="1"/>
    <col min="12298" max="12298" width="6.875" style="220" customWidth="1"/>
    <col min="12299" max="12544" width="1.375" style="220"/>
    <col min="12545" max="12545" width="1.875" style="220" customWidth="1"/>
    <col min="12546" max="12549" width="5.625" style="220" customWidth="1"/>
    <col min="12550" max="12551" width="8.625" style="220" customWidth="1"/>
    <col min="12552" max="12552" width="6.25" style="220" customWidth="1"/>
    <col min="12553" max="12553" width="6.625" style="220" customWidth="1"/>
    <col min="12554" max="12554" width="6.875" style="220" customWidth="1"/>
    <col min="12555" max="12800" width="1.375" style="220"/>
    <col min="12801" max="12801" width="1.875" style="220" customWidth="1"/>
    <col min="12802" max="12805" width="5.625" style="220" customWidth="1"/>
    <col min="12806" max="12807" width="8.625" style="220" customWidth="1"/>
    <col min="12808" max="12808" width="6.25" style="220" customWidth="1"/>
    <col min="12809" max="12809" width="6.625" style="220" customWidth="1"/>
    <col min="12810" max="12810" width="6.875" style="220" customWidth="1"/>
    <col min="12811" max="13056" width="1.375" style="220"/>
    <col min="13057" max="13057" width="1.875" style="220" customWidth="1"/>
    <col min="13058" max="13061" width="5.625" style="220" customWidth="1"/>
    <col min="13062" max="13063" width="8.625" style="220" customWidth="1"/>
    <col min="13064" max="13064" width="6.25" style="220" customWidth="1"/>
    <col min="13065" max="13065" width="6.625" style="220" customWidth="1"/>
    <col min="13066" max="13066" width="6.875" style="220" customWidth="1"/>
    <col min="13067" max="13312" width="1.375" style="220"/>
    <col min="13313" max="13313" width="1.875" style="220" customWidth="1"/>
    <col min="13314" max="13317" width="5.625" style="220" customWidth="1"/>
    <col min="13318" max="13319" width="8.625" style="220" customWidth="1"/>
    <col min="13320" max="13320" width="6.25" style="220" customWidth="1"/>
    <col min="13321" max="13321" width="6.625" style="220" customWidth="1"/>
    <col min="13322" max="13322" width="6.875" style="220" customWidth="1"/>
    <col min="13323" max="13568" width="1.375" style="220"/>
    <col min="13569" max="13569" width="1.875" style="220" customWidth="1"/>
    <col min="13570" max="13573" width="5.625" style="220" customWidth="1"/>
    <col min="13574" max="13575" width="8.625" style="220" customWidth="1"/>
    <col min="13576" max="13576" width="6.25" style="220" customWidth="1"/>
    <col min="13577" max="13577" width="6.625" style="220" customWidth="1"/>
    <col min="13578" max="13578" width="6.875" style="220" customWidth="1"/>
    <col min="13579" max="13824" width="1.375" style="220"/>
    <col min="13825" max="13825" width="1.875" style="220" customWidth="1"/>
    <col min="13826" max="13829" width="5.625" style="220" customWidth="1"/>
    <col min="13830" max="13831" width="8.625" style="220" customWidth="1"/>
    <col min="13832" max="13832" width="6.25" style="220" customWidth="1"/>
    <col min="13833" max="13833" width="6.625" style="220" customWidth="1"/>
    <col min="13834" max="13834" width="6.875" style="220" customWidth="1"/>
    <col min="13835" max="14080" width="1.375" style="220"/>
    <col min="14081" max="14081" width="1.875" style="220" customWidth="1"/>
    <col min="14082" max="14085" width="5.625" style="220" customWidth="1"/>
    <col min="14086" max="14087" width="8.625" style="220" customWidth="1"/>
    <col min="14088" max="14088" width="6.25" style="220" customWidth="1"/>
    <col min="14089" max="14089" width="6.625" style="220" customWidth="1"/>
    <col min="14090" max="14090" width="6.875" style="220" customWidth="1"/>
    <col min="14091" max="14336" width="1.375" style="220"/>
    <col min="14337" max="14337" width="1.875" style="220" customWidth="1"/>
    <col min="14338" max="14341" width="5.625" style="220" customWidth="1"/>
    <col min="14342" max="14343" width="8.625" style="220" customWidth="1"/>
    <col min="14344" max="14344" width="6.25" style="220" customWidth="1"/>
    <col min="14345" max="14345" width="6.625" style="220" customWidth="1"/>
    <col min="14346" max="14346" width="6.875" style="220" customWidth="1"/>
    <col min="14347" max="14592" width="1.375" style="220"/>
    <col min="14593" max="14593" width="1.875" style="220" customWidth="1"/>
    <col min="14594" max="14597" width="5.625" style="220" customWidth="1"/>
    <col min="14598" max="14599" width="8.625" style="220" customWidth="1"/>
    <col min="14600" max="14600" width="6.25" style="220" customWidth="1"/>
    <col min="14601" max="14601" width="6.625" style="220" customWidth="1"/>
    <col min="14602" max="14602" width="6.875" style="220" customWidth="1"/>
    <col min="14603" max="14848" width="1.375" style="220"/>
    <col min="14849" max="14849" width="1.875" style="220" customWidth="1"/>
    <col min="14850" max="14853" width="5.625" style="220" customWidth="1"/>
    <col min="14854" max="14855" width="8.625" style="220" customWidth="1"/>
    <col min="14856" max="14856" width="6.25" style="220" customWidth="1"/>
    <col min="14857" max="14857" width="6.625" style="220" customWidth="1"/>
    <col min="14858" max="14858" width="6.875" style="220" customWidth="1"/>
    <col min="14859" max="15104" width="1.375" style="220"/>
    <col min="15105" max="15105" width="1.875" style="220" customWidth="1"/>
    <col min="15106" max="15109" width="5.625" style="220" customWidth="1"/>
    <col min="15110" max="15111" width="8.625" style="220" customWidth="1"/>
    <col min="15112" max="15112" width="6.25" style="220" customWidth="1"/>
    <col min="15113" max="15113" width="6.625" style="220" customWidth="1"/>
    <col min="15114" max="15114" width="6.875" style="220" customWidth="1"/>
    <col min="15115" max="15360" width="1.375" style="220"/>
    <col min="15361" max="15361" width="1.875" style="220" customWidth="1"/>
    <col min="15362" max="15365" width="5.625" style="220" customWidth="1"/>
    <col min="15366" max="15367" width="8.625" style="220" customWidth="1"/>
    <col min="15368" max="15368" width="6.25" style="220" customWidth="1"/>
    <col min="15369" max="15369" width="6.625" style="220" customWidth="1"/>
    <col min="15370" max="15370" width="6.875" style="220" customWidth="1"/>
    <col min="15371" max="15616" width="1.375" style="220"/>
    <col min="15617" max="15617" width="1.875" style="220" customWidth="1"/>
    <col min="15618" max="15621" width="5.625" style="220" customWidth="1"/>
    <col min="15622" max="15623" width="8.625" style="220" customWidth="1"/>
    <col min="15624" max="15624" width="6.25" style="220" customWidth="1"/>
    <col min="15625" max="15625" width="6.625" style="220" customWidth="1"/>
    <col min="15626" max="15626" width="6.875" style="220" customWidth="1"/>
    <col min="15627" max="15872" width="1.375" style="220"/>
    <col min="15873" max="15873" width="1.875" style="220" customWidth="1"/>
    <col min="15874" max="15877" width="5.625" style="220" customWidth="1"/>
    <col min="15878" max="15879" width="8.625" style="220" customWidth="1"/>
    <col min="15880" max="15880" width="6.25" style="220" customWidth="1"/>
    <col min="15881" max="15881" width="6.625" style="220" customWidth="1"/>
    <col min="15882" max="15882" width="6.875" style="220" customWidth="1"/>
    <col min="15883" max="16128" width="1.375" style="220"/>
    <col min="16129" max="16129" width="1.875" style="220" customWidth="1"/>
    <col min="16130" max="16133" width="5.625" style="220" customWidth="1"/>
    <col min="16134" max="16135" width="8.625" style="220" customWidth="1"/>
    <col min="16136" max="16136" width="6.25" style="220" customWidth="1"/>
    <col min="16137" max="16137" width="6.625" style="220" customWidth="1"/>
    <col min="16138" max="16138" width="6.875" style="220" customWidth="1"/>
    <col min="16139" max="16384" width="1.375" style="220"/>
  </cols>
  <sheetData>
    <row r="2" spans="2:179" ht="14.25">
      <c r="B2" s="219" t="s">
        <v>846</v>
      </c>
    </row>
    <row r="4" spans="2:179" s="231" customFormat="1" ht="12">
      <c r="B4" s="224"/>
      <c r="C4" s="225"/>
      <c r="D4" s="225"/>
      <c r="E4" s="225"/>
      <c r="F4" s="226" t="s">
        <v>847</v>
      </c>
      <c r="G4" s="226" t="s">
        <v>848</v>
      </c>
      <c r="H4" s="227" t="s">
        <v>847</v>
      </c>
      <c r="I4" s="226" t="s">
        <v>847</v>
      </c>
      <c r="J4" s="228" t="s">
        <v>849</v>
      </c>
      <c r="K4" s="229">
        <v>0</v>
      </c>
      <c r="L4" s="225"/>
      <c r="M4" s="225"/>
      <c r="N4" s="225"/>
      <c r="O4" s="225"/>
      <c r="P4" s="225"/>
      <c r="Q4" s="225"/>
      <c r="R4" s="225"/>
      <c r="S4" s="225"/>
      <c r="T4" s="224">
        <v>1</v>
      </c>
      <c r="U4" s="225"/>
      <c r="V4" s="225"/>
      <c r="W4" s="225"/>
      <c r="X4" s="225"/>
      <c r="Y4" s="225"/>
      <c r="Z4" s="225"/>
      <c r="AA4" s="225"/>
      <c r="AB4" s="225"/>
      <c r="AC4" s="230"/>
      <c r="AD4" s="224">
        <v>2</v>
      </c>
      <c r="AE4" s="225"/>
      <c r="AF4" s="225"/>
      <c r="AG4" s="225"/>
      <c r="AH4" s="225"/>
      <c r="AI4" s="225"/>
      <c r="AJ4" s="225"/>
      <c r="AK4" s="225"/>
      <c r="AL4" s="225"/>
      <c r="AM4" s="230"/>
      <c r="AN4" s="224">
        <v>3</v>
      </c>
      <c r="AO4" s="225"/>
      <c r="AP4" s="225"/>
      <c r="AQ4" s="225"/>
      <c r="AR4" s="225"/>
      <c r="AS4" s="225"/>
      <c r="AT4" s="225"/>
      <c r="AU4" s="225"/>
      <c r="AV4" s="225"/>
      <c r="AW4" s="230"/>
      <c r="AX4" s="224">
        <v>4</v>
      </c>
      <c r="AY4" s="225"/>
      <c r="AZ4" s="225"/>
      <c r="BA4" s="225"/>
      <c r="BB4" s="225"/>
      <c r="BC4" s="225"/>
      <c r="BD4" s="225"/>
      <c r="BE4" s="225"/>
      <c r="BF4" s="225"/>
      <c r="BG4" s="230"/>
      <c r="BH4" s="224">
        <v>5</v>
      </c>
      <c r="BI4" s="225"/>
      <c r="BJ4" s="225"/>
      <c r="BK4" s="225"/>
      <c r="BL4" s="225"/>
      <c r="BM4" s="225"/>
      <c r="BN4" s="225"/>
      <c r="BO4" s="225"/>
      <c r="BP4" s="225"/>
      <c r="BQ4" s="230"/>
      <c r="BR4" s="224">
        <v>6</v>
      </c>
      <c r="BS4" s="225"/>
      <c r="BT4" s="225"/>
      <c r="BU4" s="225"/>
      <c r="BV4" s="225"/>
      <c r="BW4" s="225"/>
      <c r="BX4" s="225"/>
      <c r="BY4" s="225"/>
      <c r="BZ4" s="225"/>
      <c r="CA4" s="230"/>
      <c r="CB4" s="224">
        <v>7</v>
      </c>
      <c r="CC4" s="225"/>
      <c r="CD4" s="225"/>
      <c r="CE4" s="225"/>
      <c r="CF4" s="225"/>
      <c r="CG4" s="225"/>
      <c r="CH4" s="225"/>
      <c r="CI4" s="225"/>
      <c r="CJ4" s="225"/>
      <c r="CK4" s="230"/>
      <c r="CL4" s="224">
        <v>8</v>
      </c>
      <c r="CM4" s="225"/>
      <c r="CN4" s="225"/>
      <c r="CO4" s="225"/>
      <c r="CP4" s="225"/>
      <c r="CQ4" s="225"/>
      <c r="CR4" s="225"/>
      <c r="CS4" s="225"/>
      <c r="CT4" s="225"/>
      <c r="CU4" s="230"/>
      <c r="CV4" s="224">
        <v>9</v>
      </c>
      <c r="CW4" s="225"/>
      <c r="CX4" s="225"/>
      <c r="CY4" s="225"/>
      <c r="CZ4" s="225"/>
      <c r="DA4" s="225"/>
      <c r="DB4" s="225"/>
      <c r="DC4" s="225"/>
      <c r="DD4" s="225"/>
      <c r="DE4" s="230"/>
      <c r="DF4" s="224">
        <v>1</v>
      </c>
      <c r="DG4" s="225">
        <v>0</v>
      </c>
      <c r="DH4" s="225"/>
      <c r="DI4" s="225"/>
      <c r="DJ4" s="225"/>
      <c r="DK4" s="225"/>
      <c r="DL4" s="225"/>
      <c r="DM4" s="225"/>
      <c r="DN4" s="225"/>
      <c r="DO4" s="230"/>
      <c r="DP4" s="224">
        <v>1</v>
      </c>
      <c r="DQ4" s="225">
        <v>1</v>
      </c>
      <c r="DR4" s="225"/>
      <c r="DS4" s="225"/>
      <c r="DT4" s="225"/>
      <c r="DU4" s="225"/>
      <c r="DV4" s="225"/>
      <c r="DW4" s="225"/>
      <c r="DX4" s="225"/>
      <c r="DY4" s="230"/>
      <c r="DZ4" s="224">
        <v>1</v>
      </c>
      <c r="EA4" s="225">
        <v>2</v>
      </c>
      <c r="EB4" s="225"/>
      <c r="EC4" s="225"/>
      <c r="ED4" s="225"/>
      <c r="EE4" s="225"/>
      <c r="EF4" s="225"/>
      <c r="EG4" s="225"/>
      <c r="EH4" s="225"/>
      <c r="EI4" s="230"/>
      <c r="EJ4" s="224">
        <v>1</v>
      </c>
      <c r="EK4" s="225">
        <v>3</v>
      </c>
      <c r="EL4" s="225"/>
      <c r="EM4" s="225"/>
      <c r="EN4" s="225"/>
      <c r="EO4" s="225"/>
      <c r="EP4" s="225"/>
      <c r="EQ4" s="225"/>
      <c r="ER4" s="225"/>
      <c r="ES4" s="230"/>
      <c r="ET4" s="224">
        <v>1</v>
      </c>
      <c r="EU4" s="225">
        <v>4</v>
      </c>
      <c r="EV4" s="225"/>
      <c r="EW4" s="225"/>
      <c r="EX4" s="225"/>
      <c r="EY4" s="225"/>
      <c r="EZ4" s="225"/>
      <c r="FA4" s="225"/>
      <c r="FB4" s="225"/>
      <c r="FC4" s="230"/>
      <c r="FD4" s="224">
        <v>1</v>
      </c>
      <c r="FE4" s="225">
        <v>5</v>
      </c>
      <c r="FF4" s="225"/>
      <c r="FG4" s="225"/>
      <c r="FH4" s="225"/>
      <c r="FI4" s="225"/>
      <c r="FJ4" s="225"/>
      <c r="FK4" s="225"/>
      <c r="FL4" s="225"/>
      <c r="FM4" s="230"/>
      <c r="FN4" s="224">
        <v>1</v>
      </c>
      <c r="FO4" s="225">
        <v>6</v>
      </c>
      <c r="FP4" s="225"/>
      <c r="FQ4" s="225"/>
      <c r="FR4" s="225"/>
      <c r="FS4" s="225"/>
      <c r="FT4" s="225"/>
      <c r="FU4" s="225"/>
      <c r="FV4" s="225"/>
      <c r="FW4" s="230"/>
    </row>
    <row r="5" spans="2:179" ht="14.25" thickBot="1">
      <c r="B5" s="232"/>
      <c r="C5" s="233"/>
      <c r="D5" s="233"/>
      <c r="E5" s="233"/>
      <c r="F5" s="234"/>
      <c r="G5" s="235"/>
      <c r="H5" s="236"/>
      <c r="I5" s="235"/>
      <c r="J5" s="237" t="s">
        <v>850</v>
      </c>
      <c r="K5" s="238">
        <v>1</v>
      </c>
      <c r="L5" s="233">
        <v>2</v>
      </c>
      <c r="M5" s="233">
        <v>3</v>
      </c>
      <c r="N5" s="233">
        <v>4</v>
      </c>
      <c r="O5" s="233">
        <v>5</v>
      </c>
      <c r="P5" s="233">
        <v>6</v>
      </c>
      <c r="Q5" s="233">
        <v>7</v>
      </c>
      <c r="R5" s="233">
        <v>8</v>
      </c>
      <c r="S5" s="233">
        <v>9</v>
      </c>
      <c r="T5" s="232">
        <v>0</v>
      </c>
      <c r="U5" s="233">
        <v>1</v>
      </c>
      <c r="V5" s="233">
        <v>2</v>
      </c>
      <c r="W5" s="233">
        <v>3</v>
      </c>
      <c r="X5" s="233">
        <v>4</v>
      </c>
      <c r="Y5" s="233">
        <v>5</v>
      </c>
      <c r="Z5" s="233">
        <v>6</v>
      </c>
      <c r="AA5" s="233">
        <v>7</v>
      </c>
      <c r="AB5" s="233">
        <v>8</v>
      </c>
      <c r="AC5" s="239">
        <v>9</v>
      </c>
      <c r="AD5" s="232">
        <v>0</v>
      </c>
      <c r="AE5" s="233">
        <v>1</v>
      </c>
      <c r="AF5" s="233">
        <v>2</v>
      </c>
      <c r="AG5" s="233">
        <v>3</v>
      </c>
      <c r="AH5" s="233">
        <v>4</v>
      </c>
      <c r="AI5" s="233">
        <v>5</v>
      </c>
      <c r="AJ5" s="233">
        <v>6</v>
      </c>
      <c r="AK5" s="233">
        <v>7</v>
      </c>
      <c r="AL5" s="233">
        <v>8</v>
      </c>
      <c r="AM5" s="239">
        <v>9</v>
      </c>
      <c r="AN5" s="232">
        <v>0</v>
      </c>
      <c r="AO5" s="233">
        <v>1</v>
      </c>
      <c r="AP5" s="233">
        <v>2</v>
      </c>
      <c r="AQ5" s="233">
        <v>3</v>
      </c>
      <c r="AR5" s="233">
        <v>4</v>
      </c>
      <c r="AS5" s="233">
        <v>5</v>
      </c>
      <c r="AT5" s="233">
        <v>6</v>
      </c>
      <c r="AU5" s="233">
        <v>7</v>
      </c>
      <c r="AV5" s="233">
        <v>8</v>
      </c>
      <c r="AW5" s="239">
        <v>9</v>
      </c>
      <c r="AX5" s="232">
        <v>0</v>
      </c>
      <c r="AY5" s="233">
        <v>1</v>
      </c>
      <c r="AZ5" s="233">
        <v>2</v>
      </c>
      <c r="BA5" s="233">
        <v>3</v>
      </c>
      <c r="BB5" s="233">
        <v>4</v>
      </c>
      <c r="BC5" s="233">
        <v>5</v>
      </c>
      <c r="BD5" s="233">
        <v>6</v>
      </c>
      <c r="BE5" s="233">
        <v>7</v>
      </c>
      <c r="BF5" s="233">
        <v>8</v>
      </c>
      <c r="BG5" s="239">
        <v>9</v>
      </c>
      <c r="BH5" s="232">
        <v>0</v>
      </c>
      <c r="BI5" s="233">
        <v>1</v>
      </c>
      <c r="BJ5" s="233">
        <v>2</v>
      </c>
      <c r="BK5" s="233">
        <v>3</v>
      </c>
      <c r="BL5" s="233">
        <v>4</v>
      </c>
      <c r="BM5" s="233">
        <v>5</v>
      </c>
      <c r="BN5" s="233">
        <v>6</v>
      </c>
      <c r="BO5" s="233">
        <v>7</v>
      </c>
      <c r="BP5" s="233">
        <v>8</v>
      </c>
      <c r="BQ5" s="239">
        <v>9</v>
      </c>
      <c r="BR5" s="232">
        <v>0</v>
      </c>
      <c r="BS5" s="233">
        <v>1</v>
      </c>
      <c r="BT5" s="233">
        <v>2</v>
      </c>
      <c r="BU5" s="233">
        <v>3</v>
      </c>
      <c r="BV5" s="233">
        <v>4</v>
      </c>
      <c r="BW5" s="233">
        <v>5</v>
      </c>
      <c r="BX5" s="233">
        <v>6</v>
      </c>
      <c r="BY5" s="233">
        <v>7</v>
      </c>
      <c r="BZ5" s="233">
        <v>8</v>
      </c>
      <c r="CA5" s="239">
        <v>9</v>
      </c>
      <c r="CB5" s="232">
        <v>0</v>
      </c>
      <c r="CC5" s="233">
        <v>1</v>
      </c>
      <c r="CD5" s="233">
        <v>2</v>
      </c>
      <c r="CE5" s="233">
        <v>3</v>
      </c>
      <c r="CF5" s="233">
        <v>4</v>
      </c>
      <c r="CG5" s="233">
        <v>5</v>
      </c>
      <c r="CH5" s="233">
        <v>6</v>
      </c>
      <c r="CI5" s="233">
        <v>7</v>
      </c>
      <c r="CJ5" s="233">
        <v>8</v>
      </c>
      <c r="CK5" s="239">
        <v>9</v>
      </c>
      <c r="CL5" s="232">
        <v>0</v>
      </c>
      <c r="CM5" s="233">
        <v>1</v>
      </c>
      <c r="CN5" s="233">
        <v>2</v>
      </c>
      <c r="CO5" s="233">
        <v>3</v>
      </c>
      <c r="CP5" s="233">
        <v>4</v>
      </c>
      <c r="CQ5" s="233">
        <v>5</v>
      </c>
      <c r="CR5" s="233">
        <v>6</v>
      </c>
      <c r="CS5" s="233">
        <v>7</v>
      </c>
      <c r="CT5" s="233">
        <v>8</v>
      </c>
      <c r="CU5" s="239">
        <v>9</v>
      </c>
      <c r="CV5" s="232">
        <v>0</v>
      </c>
      <c r="CW5" s="233">
        <v>1</v>
      </c>
      <c r="CX5" s="233">
        <v>2</v>
      </c>
      <c r="CY5" s="233">
        <v>3</v>
      </c>
      <c r="CZ5" s="233">
        <v>4</v>
      </c>
      <c r="DA5" s="233">
        <v>5</v>
      </c>
      <c r="DB5" s="233">
        <v>6</v>
      </c>
      <c r="DC5" s="233">
        <v>7</v>
      </c>
      <c r="DD5" s="233">
        <v>8</v>
      </c>
      <c r="DE5" s="239">
        <v>9</v>
      </c>
      <c r="DF5" s="232">
        <v>0</v>
      </c>
      <c r="DG5" s="233">
        <v>1</v>
      </c>
      <c r="DH5" s="233">
        <v>2</v>
      </c>
      <c r="DI5" s="233">
        <v>3</v>
      </c>
      <c r="DJ5" s="233">
        <v>4</v>
      </c>
      <c r="DK5" s="233">
        <v>5</v>
      </c>
      <c r="DL5" s="233">
        <v>6</v>
      </c>
      <c r="DM5" s="233">
        <v>7</v>
      </c>
      <c r="DN5" s="233">
        <v>8</v>
      </c>
      <c r="DO5" s="239">
        <v>9</v>
      </c>
      <c r="DP5" s="232">
        <v>0</v>
      </c>
      <c r="DQ5" s="233">
        <v>1</v>
      </c>
      <c r="DR5" s="233">
        <v>2</v>
      </c>
      <c r="DS5" s="233">
        <v>3</v>
      </c>
      <c r="DT5" s="233">
        <v>4</v>
      </c>
      <c r="DU5" s="233">
        <v>5</v>
      </c>
      <c r="DV5" s="233">
        <v>6</v>
      </c>
      <c r="DW5" s="233">
        <v>7</v>
      </c>
      <c r="DX5" s="233">
        <v>8</v>
      </c>
      <c r="DY5" s="239">
        <v>9</v>
      </c>
      <c r="DZ5" s="232">
        <v>0</v>
      </c>
      <c r="EA5" s="233">
        <v>1</v>
      </c>
      <c r="EB5" s="233">
        <v>2</v>
      </c>
      <c r="EC5" s="233">
        <v>3</v>
      </c>
      <c r="ED5" s="233">
        <v>4</v>
      </c>
      <c r="EE5" s="233">
        <v>5</v>
      </c>
      <c r="EF5" s="233">
        <v>6</v>
      </c>
      <c r="EG5" s="233">
        <v>7</v>
      </c>
      <c r="EH5" s="233">
        <v>8</v>
      </c>
      <c r="EI5" s="239">
        <v>9</v>
      </c>
      <c r="EJ5" s="232">
        <v>0</v>
      </c>
      <c r="EK5" s="233">
        <v>1</v>
      </c>
      <c r="EL5" s="233">
        <v>2</v>
      </c>
      <c r="EM5" s="233">
        <v>3</v>
      </c>
      <c r="EN5" s="233">
        <v>4</v>
      </c>
      <c r="EO5" s="233">
        <v>5</v>
      </c>
      <c r="EP5" s="233">
        <v>6</v>
      </c>
      <c r="EQ5" s="233">
        <v>7</v>
      </c>
      <c r="ER5" s="233">
        <v>8</v>
      </c>
      <c r="ES5" s="239">
        <v>9</v>
      </c>
      <c r="ET5" s="232">
        <v>0</v>
      </c>
      <c r="EU5" s="233">
        <v>1</v>
      </c>
      <c r="EV5" s="233">
        <v>2</v>
      </c>
      <c r="EW5" s="233">
        <v>3</v>
      </c>
      <c r="EX5" s="233">
        <v>4</v>
      </c>
      <c r="EY5" s="233">
        <v>5</v>
      </c>
      <c r="EZ5" s="233">
        <v>6</v>
      </c>
      <c r="FA5" s="233">
        <v>7</v>
      </c>
      <c r="FB5" s="233">
        <v>8</v>
      </c>
      <c r="FC5" s="239">
        <v>9</v>
      </c>
      <c r="FD5" s="232">
        <v>0</v>
      </c>
      <c r="FE5" s="233">
        <v>1</v>
      </c>
      <c r="FF5" s="233">
        <v>2</v>
      </c>
      <c r="FG5" s="233">
        <v>3</v>
      </c>
      <c r="FH5" s="233">
        <v>4</v>
      </c>
      <c r="FI5" s="233">
        <v>5</v>
      </c>
      <c r="FJ5" s="233">
        <v>6</v>
      </c>
      <c r="FK5" s="233">
        <v>7</v>
      </c>
      <c r="FL5" s="233">
        <v>8</v>
      </c>
      <c r="FM5" s="239">
        <v>9</v>
      </c>
      <c r="FN5" s="232">
        <v>0</v>
      </c>
      <c r="FO5" s="233">
        <v>1</v>
      </c>
      <c r="FP5" s="233">
        <v>2</v>
      </c>
      <c r="FQ5" s="233">
        <v>3</v>
      </c>
      <c r="FR5" s="233">
        <v>4</v>
      </c>
      <c r="FS5" s="233">
        <v>5</v>
      </c>
      <c r="FT5" s="233">
        <v>6</v>
      </c>
      <c r="FU5" s="233">
        <v>7</v>
      </c>
      <c r="FV5" s="233">
        <v>8</v>
      </c>
      <c r="FW5" s="239">
        <v>9</v>
      </c>
    </row>
    <row r="6" spans="2:179" ht="15" thickTop="1" thickBot="1">
      <c r="B6" s="488" t="s">
        <v>851</v>
      </c>
      <c r="C6" s="489"/>
      <c r="D6" s="489"/>
      <c r="E6" s="489"/>
      <c r="F6" s="240" t="s">
        <v>852</v>
      </c>
      <c r="G6" s="240" t="s">
        <v>853</v>
      </c>
      <c r="H6" s="241" t="s">
        <v>854</v>
      </c>
      <c r="I6" s="242" t="s">
        <v>855</v>
      </c>
      <c r="J6" s="243" t="s">
        <v>856</v>
      </c>
      <c r="K6" s="244"/>
      <c r="L6" s="245"/>
      <c r="M6" s="245"/>
      <c r="N6" s="245"/>
      <c r="O6" s="245"/>
      <c r="P6" s="245"/>
      <c r="Q6" s="245"/>
      <c r="R6" s="245"/>
      <c r="S6" s="245"/>
      <c r="T6" s="246"/>
      <c r="U6" s="245"/>
      <c r="V6" s="245"/>
      <c r="W6" s="245"/>
      <c r="X6" s="245"/>
      <c r="Y6" s="245"/>
      <c r="Z6" s="245"/>
      <c r="AA6" s="245"/>
      <c r="AB6" s="245"/>
      <c r="AC6" s="247"/>
      <c r="AD6" s="246"/>
      <c r="AE6" s="245"/>
      <c r="AF6" s="245"/>
      <c r="AG6" s="245"/>
      <c r="AH6" s="245"/>
      <c r="AI6" s="245"/>
      <c r="AJ6" s="245"/>
      <c r="AK6" s="245"/>
      <c r="AL6" s="245"/>
      <c r="AM6" s="247"/>
      <c r="AN6" s="246"/>
      <c r="AO6" s="245"/>
      <c r="AP6" s="245"/>
      <c r="AQ6" s="245"/>
      <c r="AR6" s="245"/>
      <c r="AS6" s="245"/>
      <c r="AT6" s="245"/>
      <c r="AU6" s="245"/>
      <c r="AV6" s="245"/>
      <c r="AW6" s="247"/>
      <c r="AX6" s="246"/>
      <c r="AY6" s="245"/>
      <c r="AZ6" s="245"/>
      <c r="BA6" s="245"/>
      <c r="BB6" s="245"/>
      <c r="BC6" s="245"/>
      <c r="BD6" s="245"/>
      <c r="BE6" s="245"/>
      <c r="BF6" s="245"/>
      <c r="BG6" s="247"/>
      <c r="BH6" s="246"/>
      <c r="BI6" s="245"/>
      <c r="BJ6" s="245"/>
      <c r="BK6" s="245"/>
      <c r="BL6" s="245"/>
      <c r="BM6" s="245"/>
      <c r="BN6" s="245"/>
      <c r="BO6" s="245"/>
      <c r="BP6" s="245"/>
      <c r="BQ6" s="247"/>
      <c r="BR6" s="246"/>
      <c r="BS6" s="245"/>
      <c r="BT6" s="245"/>
      <c r="BU6" s="245"/>
      <c r="BV6" s="245"/>
      <c r="BW6" s="245"/>
      <c r="BX6" s="245"/>
      <c r="BY6" s="245"/>
      <c r="BZ6" s="245"/>
      <c r="CA6" s="247"/>
      <c r="CB6" s="246"/>
      <c r="CC6" s="245"/>
      <c r="CD6" s="245"/>
      <c r="CE6" s="245"/>
      <c r="CF6" s="245"/>
      <c r="CG6" s="245"/>
      <c r="CH6" s="245"/>
      <c r="CI6" s="245"/>
      <c r="CJ6" s="245"/>
      <c r="CK6" s="247"/>
      <c r="CL6" s="246"/>
      <c r="CM6" s="245"/>
      <c r="CN6" s="245"/>
      <c r="CO6" s="245"/>
      <c r="CP6" s="245"/>
      <c r="CQ6" s="245"/>
      <c r="CR6" s="245"/>
      <c r="CS6" s="245"/>
      <c r="CT6" s="245"/>
      <c r="CU6" s="247"/>
      <c r="CV6" s="246"/>
      <c r="CW6" s="245"/>
      <c r="CX6" s="245"/>
      <c r="CY6" s="245"/>
      <c r="CZ6" s="245"/>
      <c r="DA6" s="245"/>
      <c r="DB6" s="245"/>
      <c r="DC6" s="245"/>
      <c r="DD6" s="245"/>
      <c r="DE6" s="247"/>
      <c r="DF6" s="246"/>
      <c r="DG6" s="245"/>
      <c r="DH6" s="245"/>
      <c r="DI6" s="245"/>
      <c r="DJ6" s="245"/>
      <c r="DK6" s="245"/>
      <c r="DL6" s="245"/>
      <c r="DM6" s="245"/>
      <c r="DN6" s="245"/>
      <c r="DO6" s="247"/>
      <c r="DP6" s="246"/>
      <c r="DQ6" s="245"/>
      <c r="DR6" s="245"/>
      <c r="DS6" s="245"/>
      <c r="DT6" s="245"/>
      <c r="DU6" s="245"/>
      <c r="DV6" s="245"/>
      <c r="DW6" s="245"/>
      <c r="DX6" s="245"/>
      <c r="DY6" s="247"/>
      <c r="DZ6" s="246"/>
      <c r="EA6" s="245"/>
      <c r="EB6" s="245"/>
      <c r="EC6" s="245"/>
      <c r="ED6" s="245"/>
      <c r="EE6" s="245"/>
      <c r="EF6" s="245"/>
      <c r="EG6" s="245"/>
      <c r="EH6" s="245"/>
      <c r="EI6" s="247"/>
      <c r="EJ6" s="246"/>
      <c r="EK6" s="245"/>
      <c r="EL6" s="245"/>
      <c r="EM6" s="245"/>
      <c r="EN6" s="245"/>
      <c r="EO6" s="245"/>
      <c r="EP6" s="245"/>
      <c r="EQ6" s="245"/>
      <c r="ER6" s="245"/>
      <c r="ES6" s="247"/>
      <c r="ET6" s="246"/>
      <c r="EU6" s="245"/>
      <c r="EV6" s="245"/>
      <c r="EW6" s="245"/>
      <c r="EX6" s="245"/>
      <c r="EY6" s="245"/>
      <c r="EZ6" s="245"/>
      <c r="FA6" s="245"/>
      <c r="FB6" s="245"/>
      <c r="FC6" s="247"/>
      <c r="FD6" s="246"/>
      <c r="FE6" s="245"/>
      <c r="FF6" s="245"/>
      <c r="FG6" s="245"/>
      <c r="FH6" s="245"/>
      <c r="FI6" s="245"/>
      <c r="FJ6" s="245"/>
      <c r="FK6" s="245"/>
      <c r="FL6" s="245"/>
      <c r="FM6" s="247"/>
      <c r="FN6" s="246"/>
      <c r="FO6" s="245"/>
      <c r="FP6" s="245"/>
      <c r="FQ6" s="245"/>
      <c r="FR6" s="245"/>
      <c r="FS6" s="245"/>
      <c r="FT6" s="245"/>
      <c r="FU6" s="245"/>
      <c r="FV6" s="245"/>
      <c r="FW6" s="247"/>
    </row>
    <row r="7" spans="2:179" ht="15" thickTop="1" thickBot="1">
      <c r="B7" s="490" t="s">
        <v>91</v>
      </c>
      <c r="C7" s="490"/>
      <c r="D7" s="490"/>
      <c r="E7" s="491"/>
      <c r="F7" s="248">
        <f>'[1]基本 (2)'!F105</f>
        <v>2.7</v>
      </c>
      <c r="G7" s="248">
        <f>ROUND(F7*1.7,1)</f>
        <v>4.5999999999999996</v>
      </c>
      <c r="H7" s="249" t="s">
        <v>857</v>
      </c>
      <c r="I7" s="250">
        <f>ROUND(G7*2/3,1)</f>
        <v>3.1</v>
      </c>
      <c r="J7" s="251">
        <v>2</v>
      </c>
      <c r="K7" s="252"/>
      <c r="L7" s="253"/>
      <c r="M7" s="253"/>
      <c r="N7" s="253"/>
      <c r="O7" s="253"/>
      <c r="P7" s="254"/>
      <c r="Q7" s="254"/>
      <c r="R7" s="254"/>
      <c r="S7" s="255"/>
      <c r="T7" s="256"/>
      <c r="U7" s="253"/>
      <c r="V7" s="253"/>
      <c r="W7" s="253"/>
      <c r="X7" s="253"/>
      <c r="Y7" s="253"/>
      <c r="Z7" s="253"/>
      <c r="AA7" s="253"/>
      <c r="AB7" s="253"/>
      <c r="AC7" s="257"/>
      <c r="AD7" s="256"/>
      <c r="AE7" s="253"/>
      <c r="AF7" s="253"/>
      <c r="AG7" s="253"/>
      <c r="AH7" s="253"/>
      <c r="AI7" s="253"/>
      <c r="AJ7" s="253"/>
      <c r="AK7" s="253"/>
      <c r="AL7" s="253"/>
      <c r="AM7" s="257"/>
      <c r="AN7" s="256"/>
      <c r="AO7" s="253"/>
      <c r="AP7" s="253"/>
      <c r="AQ7" s="253"/>
      <c r="AR7" s="253"/>
      <c r="AS7" s="253"/>
      <c r="AT7" s="253"/>
      <c r="AU7" s="253"/>
      <c r="AV7" s="253"/>
      <c r="AW7" s="257"/>
      <c r="AX7" s="256"/>
      <c r="AY7" s="253"/>
      <c r="AZ7" s="253"/>
      <c r="BA7" s="253"/>
      <c r="BB7" s="253"/>
      <c r="BC7" s="253"/>
      <c r="BD7" s="253"/>
      <c r="BE7" s="253"/>
      <c r="BF7" s="253"/>
      <c r="BG7" s="257"/>
      <c r="BH7" s="256"/>
      <c r="BI7" s="253"/>
      <c r="BJ7" s="253"/>
      <c r="BK7" s="253"/>
      <c r="BL7" s="253"/>
      <c r="BM7" s="253"/>
      <c r="BN7" s="253"/>
      <c r="BO7" s="253"/>
      <c r="BP7" s="253"/>
      <c r="BQ7" s="257"/>
      <c r="BR7" s="256"/>
      <c r="BS7" s="253"/>
      <c r="BT7" s="253"/>
      <c r="BU7" s="253"/>
      <c r="BV7" s="253"/>
      <c r="BW7" s="253"/>
      <c r="BX7" s="253"/>
      <c r="BY7" s="253"/>
      <c r="BZ7" s="253"/>
      <c r="CA7" s="257"/>
      <c r="CB7" s="256"/>
      <c r="CC7" s="253"/>
      <c r="CD7" s="253"/>
      <c r="CE7" s="253"/>
      <c r="CF7" s="253"/>
      <c r="CG7" s="253"/>
      <c r="CH7" s="253"/>
      <c r="CI7" s="253"/>
      <c r="CJ7" s="253"/>
      <c r="CK7" s="257"/>
      <c r="CL7" s="256"/>
      <c r="CM7" s="253"/>
      <c r="CN7" s="253"/>
      <c r="CO7" s="253"/>
      <c r="CP7" s="253"/>
      <c r="CQ7" s="253"/>
      <c r="CR7" s="253"/>
      <c r="CS7" s="253"/>
      <c r="CT7" s="253"/>
      <c r="CU7" s="257"/>
      <c r="CV7" s="256"/>
      <c r="CW7" s="253"/>
      <c r="CX7" s="253"/>
      <c r="CY7" s="253"/>
      <c r="CZ7" s="253"/>
      <c r="DA7" s="253"/>
      <c r="DB7" s="253"/>
      <c r="DC7" s="253"/>
      <c r="DD7" s="253"/>
      <c r="DE7" s="257"/>
      <c r="DF7" s="256"/>
      <c r="DG7" s="253"/>
      <c r="DH7" s="253"/>
      <c r="DI7" s="253"/>
      <c r="DJ7" s="253"/>
      <c r="DK7" s="253"/>
      <c r="DL7" s="253"/>
      <c r="DM7" s="253"/>
      <c r="DN7" s="253"/>
      <c r="DO7" s="257"/>
      <c r="DP7" s="256"/>
      <c r="DQ7" s="253"/>
      <c r="DR7" s="253"/>
      <c r="DS7" s="253"/>
      <c r="DT7" s="253"/>
      <c r="DU7" s="253"/>
      <c r="DV7" s="253"/>
      <c r="DW7" s="253"/>
      <c r="DX7" s="253"/>
      <c r="DY7" s="257"/>
      <c r="DZ7" s="256"/>
      <c r="EA7" s="253"/>
      <c r="EB7" s="253"/>
      <c r="EC7" s="253"/>
      <c r="ED7" s="253"/>
      <c r="EE7" s="253"/>
      <c r="EF7" s="253"/>
      <c r="EG7" s="253"/>
      <c r="EH7" s="253"/>
      <c r="EI7" s="257"/>
      <c r="EJ7" s="256"/>
      <c r="EK7" s="253"/>
      <c r="EL7" s="254"/>
      <c r="EM7" s="253"/>
      <c r="EN7" s="253"/>
      <c r="EO7" s="253"/>
      <c r="EP7" s="253"/>
      <c r="EQ7" s="253"/>
      <c r="ER7" s="253"/>
      <c r="ES7" s="257"/>
      <c r="ET7" s="256"/>
      <c r="EU7" s="253"/>
      <c r="EV7" s="253"/>
      <c r="EW7" s="253"/>
      <c r="EX7" s="253"/>
      <c r="EY7" s="253"/>
      <c r="EZ7" s="253"/>
      <c r="FA7" s="253"/>
      <c r="FB7" s="253"/>
      <c r="FC7" s="257"/>
      <c r="FD7" s="256"/>
      <c r="FE7" s="253"/>
      <c r="FF7" s="253"/>
      <c r="FG7" s="253"/>
      <c r="FH7" s="253"/>
      <c r="FI7" s="253"/>
      <c r="FJ7" s="253"/>
      <c r="FK7" s="253"/>
      <c r="FL7" s="253"/>
      <c r="FM7" s="257"/>
      <c r="FN7" s="256"/>
      <c r="FO7" s="253"/>
      <c r="FP7" s="253"/>
      <c r="FQ7" s="253"/>
      <c r="FR7" s="253"/>
      <c r="FS7" s="253"/>
      <c r="FT7" s="253"/>
      <c r="FU7" s="253"/>
      <c r="FV7" s="253"/>
      <c r="FW7" s="257"/>
    </row>
    <row r="8" spans="2:179">
      <c r="B8" s="481"/>
      <c r="C8" s="482"/>
      <c r="D8" s="482"/>
      <c r="E8" s="482"/>
      <c r="F8" s="258"/>
      <c r="G8" s="258"/>
      <c r="H8" s="259" t="s">
        <v>858</v>
      </c>
      <c r="I8" s="260">
        <f>ROUND(G7*1/3,1)</f>
        <v>1.5</v>
      </c>
      <c r="J8" s="251">
        <v>10</v>
      </c>
      <c r="K8" s="261"/>
      <c r="L8" s="255"/>
      <c r="M8" s="255"/>
      <c r="N8" s="255"/>
      <c r="O8" s="255"/>
      <c r="P8" s="255"/>
      <c r="Q8" s="255"/>
      <c r="R8" s="255"/>
      <c r="S8" s="255"/>
      <c r="T8" s="262"/>
      <c r="U8" s="255"/>
      <c r="V8" s="255"/>
      <c r="W8" s="255"/>
      <c r="X8" s="255"/>
      <c r="Y8" s="255"/>
      <c r="Z8" s="255"/>
      <c r="AA8" s="255"/>
      <c r="AB8" s="255"/>
      <c r="AC8" s="257"/>
      <c r="AD8" s="262"/>
      <c r="AE8" s="255"/>
      <c r="AF8" s="255"/>
      <c r="AG8" s="255"/>
      <c r="AH8" s="255"/>
      <c r="AI8" s="255"/>
      <c r="AJ8" s="255"/>
      <c r="AK8" s="255"/>
      <c r="AL8" s="255"/>
      <c r="AM8" s="257"/>
      <c r="AN8" s="262"/>
      <c r="AO8" s="255"/>
      <c r="AP8" s="255"/>
      <c r="AQ8" s="255"/>
      <c r="AR8" s="255"/>
      <c r="AS8" s="255"/>
      <c r="AT8" s="255"/>
      <c r="AU8" s="255"/>
      <c r="AV8" s="255"/>
      <c r="AW8" s="257"/>
      <c r="AX8" s="262"/>
      <c r="AY8" s="255"/>
      <c r="AZ8" s="255"/>
      <c r="BA8" s="255"/>
      <c r="BB8" s="255"/>
      <c r="BC8" s="255"/>
      <c r="BD8" s="255"/>
      <c r="BE8" s="255"/>
      <c r="BF8" s="255"/>
      <c r="BG8" s="257"/>
      <c r="BH8" s="262"/>
      <c r="BI8" s="255"/>
      <c r="BJ8" s="255"/>
      <c r="BK8" s="255"/>
      <c r="BL8" s="255"/>
      <c r="BM8" s="255"/>
      <c r="BN8" s="255"/>
      <c r="BO8" s="255"/>
      <c r="BP8" s="255"/>
      <c r="BQ8" s="257"/>
      <c r="BR8" s="262"/>
      <c r="BS8" s="255"/>
      <c r="BT8" s="255"/>
      <c r="BU8" s="255"/>
      <c r="BV8" s="255"/>
      <c r="BW8" s="255"/>
      <c r="BX8" s="255"/>
      <c r="BY8" s="255"/>
      <c r="BZ8" s="255"/>
      <c r="CA8" s="257"/>
      <c r="CB8" s="262"/>
      <c r="CC8" s="255"/>
      <c r="CD8" s="255"/>
      <c r="CE8" s="255"/>
      <c r="CF8" s="255"/>
      <c r="CG8" s="255"/>
      <c r="CH8" s="255"/>
      <c r="CI8" s="255"/>
      <c r="CJ8" s="255"/>
      <c r="CK8" s="257"/>
      <c r="CL8" s="262"/>
      <c r="CM8" s="255"/>
      <c r="CN8" s="255"/>
      <c r="CO8" s="255"/>
      <c r="CP8" s="255"/>
      <c r="CQ8" s="255"/>
      <c r="CR8" s="255"/>
      <c r="CS8" s="255"/>
      <c r="CT8" s="255"/>
      <c r="CU8" s="257"/>
      <c r="CV8" s="262"/>
      <c r="CW8" s="255"/>
      <c r="CX8" s="255"/>
      <c r="CY8" s="255"/>
      <c r="CZ8" s="255"/>
      <c r="DA8" s="255"/>
      <c r="DB8" s="255"/>
      <c r="DC8" s="255"/>
      <c r="DD8" s="255"/>
      <c r="DE8" s="257"/>
      <c r="DF8" s="262"/>
      <c r="DG8" s="255"/>
      <c r="DH8" s="255"/>
      <c r="DI8" s="255"/>
      <c r="DJ8" s="255"/>
      <c r="DK8" s="255"/>
      <c r="DL8" s="255"/>
      <c r="DM8" s="255"/>
      <c r="DN8" s="255"/>
      <c r="DO8" s="257"/>
      <c r="DP8" s="262"/>
      <c r="DQ8" s="255"/>
      <c r="DR8" s="255"/>
      <c r="DS8" s="255"/>
      <c r="DT8" s="255"/>
      <c r="DU8" s="255"/>
      <c r="DV8" s="255"/>
      <c r="DW8" s="255"/>
      <c r="DX8" s="255"/>
      <c r="DY8" s="257"/>
      <c r="DZ8" s="262"/>
      <c r="EA8" s="255"/>
      <c r="EB8" s="255"/>
      <c r="EC8" s="255"/>
      <c r="ED8" s="255"/>
      <c r="EE8" s="255"/>
      <c r="EF8" s="255"/>
      <c r="EG8" s="255"/>
      <c r="EH8" s="255"/>
      <c r="EI8" s="257"/>
      <c r="EJ8" s="262"/>
      <c r="EK8" s="255"/>
      <c r="EL8" s="255"/>
      <c r="EM8" s="255"/>
      <c r="EN8" s="255"/>
      <c r="EO8" s="255"/>
      <c r="EP8" s="255"/>
      <c r="EQ8" s="255"/>
      <c r="ER8" s="255"/>
      <c r="ES8" s="257"/>
      <c r="ET8" s="262"/>
      <c r="EU8" s="255"/>
      <c r="EV8" s="255"/>
      <c r="EW8" s="255"/>
      <c r="EX8" s="255"/>
      <c r="EY8" s="255"/>
      <c r="EZ8" s="255"/>
      <c r="FA8" s="255"/>
      <c r="FB8" s="255"/>
      <c r="FC8" s="257"/>
      <c r="FD8" s="262"/>
      <c r="FE8" s="255"/>
      <c r="FF8" s="255"/>
      <c r="FG8" s="255"/>
      <c r="FH8" s="255"/>
      <c r="FI8" s="255"/>
      <c r="FJ8" s="255"/>
      <c r="FK8" s="255"/>
      <c r="FL8" s="255"/>
      <c r="FM8" s="257"/>
      <c r="FN8" s="262"/>
      <c r="FO8" s="255"/>
      <c r="FP8" s="255"/>
      <c r="FQ8" s="255"/>
      <c r="FR8" s="255"/>
      <c r="FS8" s="255"/>
      <c r="FT8" s="255"/>
      <c r="FU8" s="255"/>
      <c r="FV8" s="255"/>
      <c r="FW8" s="257"/>
    </row>
    <row r="9" spans="2:179" ht="14.25" thickBot="1">
      <c r="B9" s="484" t="s">
        <v>93</v>
      </c>
      <c r="C9" s="484"/>
      <c r="D9" s="484"/>
      <c r="E9" s="473"/>
      <c r="F9" s="263">
        <f>'[1]基本 (2)'!F106</f>
        <v>21.4</v>
      </c>
      <c r="G9" s="263">
        <f>ROUND(F9*1.7,1)</f>
        <v>36.4</v>
      </c>
      <c r="H9" s="264" t="s">
        <v>857</v>
      </c>
      <c r="I9" s="265">
        <f>ROUND(G9*2/3,1)</f>
        <v>24.3</v>
      </c>
      <c r="J9" s="266">
        <v>3</v>
      </c>
      <c r="K9" s="267"/>
      <c r="L9" s="268"/>
      <c r="M9" s="268"/>
      <c r="N9" s="268"/>
      <c r="O9" s="268"/>
      <c r="P9" s="268"/>
      <c r="Q9" s="268"/>
      <c r="R9" s="268"/>
      <c r="S9" s="269"/>
      <c r="T9" s="270"/>
      <c r="U9" s="269"/>
      <c r="V9" s="269"/>
      <c r="W9" s="269"/>
      <c r="X9" s="269"/>
      <c r="Y9" s="269"/>
      <c r="Z9" s="269"/>
      <c r="AA9" s="269"/>
      <c r="AB9" s="269"/>
      <c r="AC9" s="271"/>
      <c r="AD9" s="270"/>
      <c r="AE9" s="269"/>
      <c r="AF9" s="269"/>
      <c r="AG9" s="269"/>
      <c r="AH9" s="269"/>
      <c r="AI9" s="269"/>
      <c r="AJ9" s="269"/>
      <c r="AK9" s="269"/>
      <c r="AL9" s="269"/>
      <c r="AM9" s="271"/>
      <c r="AN9" s="270"/>
      <c r="AO9" s="269"/>
      <c r="AP9" s="269"/>
      <c r="AQ9" s="268"/>
      <c r="AR9" s="268"/>
      <c r="AS9" s="268"/>
      <c r="AT9" s="268"/>
      <c r="AU9" s="268"/>
      <c r="AV9" s="268"/>
      <c r="AW9" s="272"/>
      <c r="AX9" s="273"/>
      <c r="AY9" s="268"/>
      <c r="AZ9" s="268"/>
      <c r="BA9" s="268"/>
      <c r="BB9" s="268"/>
      <c r="BC9" s="268"/>
      <c r="BD9" s="268"/>
      <c r="BE9" s="268"/>
      <c r="BF9" s="268"/>
      <c r="BG9" s="272"/>
      <c r="BH9" s="273"/>
      <c r="BI9" s="268"/>
      <c r="BJ9" s="268"/>
      <c r="BK9" s="268"/>
      <c r="BL9" s="268"/>
      <c r="BM9" s="268"/>
      <c r="BN9" s="268"/>
      <c r="BO9" s="268"/>
      <c r="BP9" s="268"/>
      <c r="BQ9" s="272"/>
      <c r="BR9" s="273"/>
      <c r="BS9" s="268"/>
      <c r="BT9" s="268"/>
      <c r="BU9" s="268"/>
      <c r="BV9" s="268"/>
      <c r="BW9" s="268"/>
      <c r="BX9" s="268"/>
      <c r="BY9" s="268"/>
      <c r="BZ9" s="268"/>
      <c r="CA9" s="272"/>
      <c r="CB9" s="273"/>
      <c r="CC9" s="268"/>
      <c r="CD9" s="268"/>
      <c r="CE9" s="268"/>
      <c r="CF9" s="268"/>
      <c r="CG9" s="268"/>
      <c r="CH9" s="268"/>
      <c r="CI9" s="268"/>
      <c r="CJ9" s="268"/>
      <c r="CK9" s="272"/>
      <c r="CL9" s="273"/>
      <c r="CM9" s="268"/>
      <c r="CN9" s="268"/>
      <c r="CO9" s="268"/>
      <c r="CP9" s="268"/>
      <c r="CQ9" s="268"/>
      <c r="CR9" s="268"/>
      <c r="CS9" s="268"/>
      <c r="CT9" s="268"/>
      <c r="CU9" s="272"/>
      <c r="CV9" s="273"/>
      <c r="CW9" s="268"/>
      <c r="CX9" s="268"/>
      <c r="CY9" s="268"/>
      <c r="CZ9" s="268"/>
      <c r="DA9" s="268"/>
      <c r="DB9" s="268"/>
      <c r="DC9" s="268"/>
      <c r="DD9" s="268"/>
      <c r="DE9" s="272"/>
      <c r="DF9" s="273"/>
      <c r="DG9" s="268"/>
      <c r="DH9" s="268"/>
      <c r="DI9" s="268"/>
      <c r="DJ9" s="268"/>
      <c r="DK9" s="268"/>
      <c r="DL9" s="268"/>
      <c r="DM9" s="268"/>
      <c r="DN9" s="268"/>
      <c r="DO9" s="272"/>
      <c r="DP9" s="273"/>
      <c r="DQ9" s="268"/>
      <c r="DR9" s="268"/>
      <c r="DS9" s="268"/>
      <c r="DT9" s="268"/>
      <c r="DU9" s="268"/>
      <c r="DV9" s="268"/>
      <c r="DW9" s="268"/>
      <c r="DX9" s="268"/>
      <c r="DY9" s="271"/>
      <c r="DZ9" s="270"/>
      <c r="EA9" s="269"/>
      <c r="EB9" s="269"/>
      <c r="EC9" s="269"/>
      <c r="ED9" s="269"/>
      <c r="EE9" s="269"/>
      <c r="EF9" s="269"/>
      <c r="EG9" s="269"/>
      <c r="EH9" s="269"/>
      <c r="EI9" s="271"/>
      <c r="EJ9" s="270"/>
      <c r="EK9" s="269"/>
      <c r="EL9" s="268"/>
      <c r="EM9" s="268"/>
      <c r="EN9" s="268"/>
      <c r="EO9" s="268"/>
      <c r="EP9" s="268"/>
      <c r="EQ9" s="268"/>
      <c r="ER9" s="268"/>
      <c r="ES9" s="272"/>
      <c r="ET9" s="273"/>
      <c r="EU9" s="268"/>
      <c r="EV9" s="268"/>
      <c r="EW9" s="268"/>
      <c r="EX9" s="268"/>
      <c r="EY9" s="268"/>
      <c r="EZ9" s="268"/>
      <c r="FA9" s="268"/>
      <c r="FB9" s="268"/>
      <c r="FC9" s="272"/>
      <c r="FD9" s="273"/>
      <c r="FE9" s="268"/>
      <c r="FF9" s="268"/>
      <c r="FG9" s="268"/>
      <c r="FH9" s="268"/>
      <c r="FI9" s="268"/>
      <c r="FJ9" s="268"/>
      <c r="FK9" s="268"/>
      <c r="FL9" s="268"/>
      <c r="FM9" s="272"/>
      <c r="FN9" s="273"/>
      <c r="FO9" s="268"/>
      <c r="FP9" s="268"/>
      <c r="FQ9" s="268"/>
      <c r="FR9" s="268"/>
      <c r="FS9" s="268"/>
      <c r="FT9" s="268"/>
      <c r="FU9" s="268"/>
      <c r="FV9" s="268"/>
      <c r="FW9" s="272"/>
    </row>
    <row r="10" spans="2:179">
      <c r="B10" s="481"/>
      <c r="C10" s="482"/>
      <c r="D10" s="482"/>
      <c r="E10" s="482"/>
      <c r="F10" s="258"/>
      <c r="G10" s="258"/>
      <c r="H10" s="259" t="s">
        <v>858</v>
      </c>
      <c r="I10" s="260">
        <f>ROUND(G9*1/3,1)</f>
        <v>12.1</v>
      </c>
      <c r="J10" s="274">
        <v>9</v>
      </c>
      <c r="K10" s="275"/>
      <c r="L10" s="276"/>
      <c r="M10" s="276"/>
      <c r="N10" s="276"/>
      <c r="O10" s="276"/>
      <c r="P10" s="276"/>
      <c r="Q10" s="276"/>
      <c r="R10" s="276"/>
      <c r="S10" s="276"/>
      <c r="T10" s="277"/>
      <c r="U10" s="276"/>
      <c r="V10" s="276"/>
      <c r="W10" s="276"/>
      <c r="X10" s="276"/>
      <c r="Y10" s="276"/>
      <c r="Z10" s="276"/>
      <c r="AA10" s="276"/>
      <c r="AB10" s="276"/>
      <c r="AC10" s="278"/>
      <c r="AD10" s="277"/>
      <c r="AE10" s="276"/>
      <c r="AF10" s="276"/>
      <c r="AG10" s="276"/>
      <c r="AH10" s="276"/>
      <c r="AI10" s="276"/>
      <c r="AJ10" s="276"/>
      <c r="AK10" s="276"/>
      <c r="AL10" s="276"/>
      <c r="AM10" s="278"/>
      <c r="AN10" s="277"/>
      <c r="AO10" s="276"/>
      <c r="AP10" s="276"/>
      <c r="AQ10" s="276"/>
      <c r="AR10" s="276"/>
      <c r="AS10" s="276"/>
      <c r="AT10" s="276"/>
      <c r="AU10" s="276"/>
      <c r="AV10" s="276"/>
      <c r="AW10" s="278"/>
      <c r="AX10" s="277"/>
      <c r="AY10" s="276"/>
      <c r="AZ10" s="276"/>
      <c r="BA10" s="276"/>
      <c r="BB10" s="276"/>
      <c r="BC10" s="276"/>
      <c r="BD10" s="276"/>
      <c r="BE10" s="276"/>
      <c r="BF10" s="276"/>
      <c r="BG10" s="278"/>
      <c r="BH10" s="277"/>
      <c r="BI10" s="276"/>
      <c r="BJ10" s="276"/>
      <c r="BK10" s="276"/>
      <c r="BL10" s="276"/>
      <c r="BM10" s="276"/>
      <c r="BN10" s="276"/>
      <c r="BO10" s="276"/>
      <c r="BP10" s="276"/>
      <c r="BQ10" s="278"/>
      <c r="BR10" s="277"/>
      <c r="BS10" s="276"/>
      <c r="BT10" s="276"/>
      <c r="BU10" s="276"/>
      <c r="BV10" s="276"/>
      <c r="BW10" s="276"/>
      <c r="BX10" s="276"/>
      <c r="BY10" s="276"/>
      <c r="BZ10" s="276"/>
      <c r="CA10" s="278"/>
      <c r="CB10" s="277"/>
      <c r="CC10" s="276"/>
      <c r="CD10" s="276"/>
      <c r="CE10" s="276"/>
      <c r="CF10" s="276"/>
      <c r="CG10" s="276"/>
      <c r="CH10" s="276"/>
      <c r="CI10" s="276"/>
      <c r="CJ10" s="276"/>
      <c r="CK10" s="278"/>
      <c r="CL10" s="277"/>
      <c r="CM10" s="276"/>
      <c r="CN10" s="276"/>
      <c r="CO10" s="276"/>
      <c r="CP10" s="276"/>
      <c r="CQ10" s="276"/>
      <c r="CR10" s="276"/>
      <c r="CS10" s="276"/>
      <c r="CT10" s="276"/>
      <c r="CU10" s="278"/>
      <c r="CV10" s="277"/>
      <c r="CW10" s="276"/>
      <c r="CX10" s="276"/>
      <c r="CY10" s="276"/>
      <c r="CZ10" s="276"/>
      <c r="DA10" s="276"/>
      <c r="DB10" s="276"/>
      <c r="DC10" s="276"/>
      <c r="DD10" s="276"/>
      <c r="DE10" s="278"/>
      <c r="DF10" s="277"/>
      <c r="DG10" s="276"/>
      <c r="DH10" s="276"/>
      <c r="DI10" s="276"/>
      <c r="DJ10" s="276"/>
      <c r="DK10" s="276"/>
      <c r="DL10" s="276"/>
      <c r="DM10" s="276"/>
      <c r="DN10" s="276"/>
      <c r="DO10" s="278"/>
      <c r="DP10" s="277"/>
      <c r="DQ10" s="276"/>
      <c r="DR10" s="276"/>
      <c r="DS10" s="276"/>
      <c r="DT10" s="276"/>
      <c r="DU10" s="276"/>
      <c r="DV10" s="276"/>
      <c r="DW10" s="276"/>
      <c r="DX10" s="276"/>
      <c r="DY10" s="278"/>
      <c r="DZ10" s="277"/>
      <c r="EA10" s="276"/>
      <c r="EB10" s="276"/>
      <c r="EC10" s="276"/>
      <c r="ED10" s="276"/>
      <c r="EE10" s="276"/>
      <c r="EF10" s="276"/>
      <c r="EG10" s="276"/>
      <c r="EH10" s="276"/>
      <c r="EI10" s="278"/>
      <c r="EJ10" s="277"/>
      <c r="EK10" s="276"/>
      <c r="EL10" s="276"/>
      <c r="EM10" s="276"/>
      <c r="EN10" s="276"/>
      <c r="EO10" s="276"/>
      <c r="EP10" s="276"/>
      <c r="EQ10" s="276"/>
      <c r="ER10" s="276"/>
      <c r="ES10" s="278"/>
      <c r="ET10" s="277"/>
      <c r="EU10" s="276"/>
      <c r="EV10" s="276"/>
      <c r="EW10" s="276"/>
      <c r="EX10" s="276"/>
      <c r="EY10" s="276"/>
      <c r="EZ10" s="276"/>
      <c r="FA10" s="276"/>
      <c r="FB10" s="276"/>
      <c r="FC10" s="278"/>
      <c r="FD10" s="277"/>
      <c r="FE10" s="276"/>
      <c r="FF10" s="276"/>
      <c r="FG10" s="276"/>
      <c r="FH10" s="276"/>
      <c r="FI10" s="276"/>
      <c r="FJ10" s="276"/>
      <c r="FK10" s="276"/>
      <c r="FL10" s="276"/>
      <c r="FM10" s="278"/>
      <c r="FN10" s="277"/>
      <c r="FO10" s="276"/>
      <c r="FP10" s="276"/>
      <c r="FQ10" s="276"/>
      <c r="FR10" s="276"/>
      <c r="FS10" s="276"/>
      <c r="FT10" s="276"/>
      <c r="FU10" s="276"/>
      <c r="FV10" s="276"/>
      <c r="FW10" s="278"/>
    </row>
    <row r="11" spans="2:179" ht="14.25" thickBot="1">
      <c r="B11" s="473" t="s">
        <v>95</v>
      </c>
      <c r="C11" s="474"/>
      <c r="D11" s="474"/>
      <c r="E11" s="474"/>
      <c r="F11" s="263">
        <f>'[1]基本 (2)'!F107</f>
        <v>5.2</v>
      </c>
      <c r="G11" s="263">
        <f>ROUND(F11*1.7,1)</f>
        <v>8.8000000000000007</v>
      </c>
      <c r="H11" s="264" t="s">
        <v>847</v>
      </c>
      <c r="I11" s="265"/>
      <c r="J11" s="251">
        <v>5</v>
      </c>
      <c r="K11" s="261"/>
      <c r="L11" s="255"/>
      <c r="M11" s="255"/>
      <c r="N11" s="255"/>
      <c r="O11" s="255"/>
      <c r="P11" s="255"/>
      <c r="Q11" s="255"/>
      <c r="R11" s="255"/>
      <c r="S11" s="255"/>
      <c r="T11" s="262"/>
      <c r="U11" s="255"/>
      <c r="V11" s="255"/>
      <c r="W11" s="255"/>
      <c r="X11" s="255"/>
      <c r="Y11" s="255"/>
      <c r="Z11" s="255"/>
      <c r="AA11" s="255"/>
      <c r="AB11" s="255"/>
      <c r="AC11" s="257"/>
      <c r="AD11" s="262"/>
      <c r="AE11" s="255"/>
      <c r="AF11" s="255"/>
      <c r="AG11" s="255"/>
      <c r="AH11" s="255"/>
      <c r="AI11" s="255"/>
      <c r="AJ11" s="255"/>
      <c r="AK11" s="255"/>
      <c r="AL11" s="255"/>
      <c r="AM11" s="257"/>
      <c r="AN11" s="262"/>
      <c r="AO11" s="255"/>
      <c r="AP11" s="255"/>
      <c r="AQ11" s="255"/>
      <c r="AR11" s="255"/>
      <c r="AS11" s="255"/>
      <c r="AT11" s="255"/>
      <c r="AU11" s="255"/>
      <c r="AV11" s="255"/>
      <c r="AW11" s="257"/>
      <c r="AX11" s="262"/>
      <c r="AY11" s="255"/>
      <c r="AZ11" s="255"/>
      <c r="BA11" s="255"/>
      <c r="BB11" s="255"/>
      <c r="BC11" s="255"/>
      <c r="BD11" s="255"/>
      <c r="BE11" s="269"/>
      <c r="BF11" s="269"/>
      <c r="BG11" s="271"/>
      <c r="BH11" s="270"/>
      <c r="BI11" s="269"/>
      <c r="BJ11" s="269"/>
      <c r="BK11" s="269"/>
      <c r="BL11" s="269"/>
      <c r="BM11" s="269"/>
      <c r="BN11" s="255"/>
      <c r="BO11" s="255"/>
      <c r="BP11" s="255"/>
      <c r="BQ11" s="257"/>
      <c r="BR11" s="262"/>
      <c r="BS11" s="255"/>
      <c r="BT11" s="255"/>
      <c r="BU11" s="255"/>
      <c r="BV11" s="255"/>
      <c r="BW11" s="255"/>
      <c r="BX11" s="255"/>
      <c r="BY11" s="255"/>
      <c r="BZ11" s="255"/>
      <c r="CA11" s="257"/>
      <c r="CB11" s="262"/>
      <c r="CC11" s="255"/>
      <c r="CD11" s="255"/>
      <c r="CE11" s="255"/>
      <c r="CF11" s="255"/>
      <c r="CG11" s="255"/>
      <c r="CH11" s="255"/>
      <c r="CI11" s="255"/>
      <c r="CJ11" s="255"/>
      <c r="CK11" s="257"/>
      <c r="CL11" s="262"/>
      <c r="CM11" s="255"/>
      <c r="CN11" s="255"/>
      <c r="CO11" s="255"/>
      <c r="CP11" s="255"/>
      <c r="CQ11" s="255"/>
      <c r="CR11" s="255"/>
      <c r="CS11" s="255"/>
      <c r="CT11" s="255"/>
      <c r="CU11" s="257"/>
      <c r="CV11" s="262"/>
      <c r="CW11" s="255"/>
      <c r="CX11" s="255"/>
      <c r="CY11" s="255"/>
      <c r="CZ11" s="255"/>
      <c r="DA11" s="255"/>
      <c r="DB11" s="255"/>
      <c r="DC11" s="255"/>
      <c r="DD11" s="255"/>
      <c r="DE11" s="257"/>
      <c r="DF11" s="262"/>
      <c r="DG11" s="255"/>
      <c r="DH11" s="255"/>
      <c r="DI11" s="255"/>
      <c r="DJ11" s="255"/>
      <c r="DK11" s="255"/>
      <c r="DL11" s="255"/>
      <c r="DM11" s="255"/>
      <c r="DN11" s="255"/>
      <c r="DO11" s="257"/>
      <c r="DP11" s="262"/>
      <c r="DQ11" s="255"/>
      <c r="DR11" s="255"/>
      <c r="DS11" s="255"/>
      <c r="DT11" s="255"/>
      <c r="DU11" s="255"/>
      <c r="DV11" s="255"/>
      <c r="DW11" s="255"/>
      <c r="DX11" s="255"/>
      <c r="DY11" s="257"/>
      <c r="DZ11" s="262"/>
      <c r="EA11" s="255"/>
      <c r="EB11" s="255"/>
      <c r="EC11" s="255"/>
      <c r="ED11" s="255"/>
      <c r="EE11" s="255"/>
      <c r="EF11" s="255"/>
      <c r="EG11" s="255"/>
      <c r="EH11" s="255"/>
      <c r="EI11" s="257"/>
      <c r="EJ11" s="262"/>
      <c r="EK11" s="255"/>
      <c r="EL11" s="255"/>
      <c r="EM11" s="255"/>
      <c r="EN11" s="255"/>
      <c r="EO11" s="255"/>
      <c r="EP11" s="255"/>
      <c r="EQ11" s="255"/>
      <c r="ER11" s="255"/>
      <c r="ES11" s="257"/>
      <c r="ET11" s="262"/>
      <c r="EU11" s="255"/>
      <c r="EV11" s="255"/>
      <c r="EW11" s="255"/>
      <c r="EX11" s="255"/>
      <c r="EY11" s="255"/>
      <c r="EZ11" s="255"/>
      <c r="FA11" s="255"/>
      <c r="FB11" s="255"/>
      <c r="FC11" s="257"/>
      <c r="FD11" s="262"/>
      <c r="FE11" s="255"/>
      <c r="FF11" s="255"/>
      <c r="FG11" s="255"/>
      <c r="FH11" s="255"/>
      <c r="FI11" s="255"/>
      <c r="FJ11" s="255"/>
      <c r="FK11" s="255"/>
      <c r="FL11" s="255"/>
      <c r="FM11" s="257"/>
      <c r="FN11" s="262"/>
      <c r="FO11" s="255"/>
      <c r="FP11" s="255"/>
      <c r="FQ11" s="255"/>
      <c r="FR11" s="255"/>
      <c r="FS11" s="255"/>
      <c r="FT11" s="255"/>
      <c r="FU11" s="255"/>
      <c r="FV11" s="255"/>
      <c r="FW11" s="257"/>
    </row>
    <row r="12" spans="2:179">
      <c r="B12" s="481"/>
      <c r="C12" s="482"/>
      <c r="D12" s="482"/>
      <c r="E12" s="482"/>
      <c r="F12" s="258"/>
      <c r="G12" s="258"/>
      <c r="H12" s="259"/>
      <c r="I12" s="260"/>
      <c r="J12" s="274"/>
      <c r="K12" s="275"/>
      <c r="L12" s="276"/>
      <c r="M12" s="276"/>
      <c r="N12" s="276"/>
      <c r="O12" s="276"/>
      <c r="P12" s="276"/>
      <c r="Q12" s="276"/>
      <c r="R12" s="276"/>
      <c r="S12" s="276"/>
      <c r="T12" s="277"/>
      <c r="U12" s="276"/>
      <c r="V12" s="276"/>
      <c r="W12" s="276"/>
      <c r="X12" s="276"/>
      <c r="Y12" s="276"/>
      <c r="Z12" s="276"/>
      <c r="AA12" s="276"/>
      <c r="AB12" s="276"/>
      <c r="AC12" s="278"/>
      <c r="AD12" s="277"/>
      <c r="AE12" s="276"/>
      <c r="AF12" s="276"/>
      <c r="AG12" s="276"/>
      <c r="AH12" s="276"/>
      <c r="AI12" s="276"/>
      <c r="AJ12" s="276"/>
      <c r="AK12" s="276"/>
      <c r="AL12" s="276"/>
      <c r="AM12" s="278"/>
      <c r="AN12" s="277"/>
      <c r="AO12" s="276"/>
      <c r="AP12" s="276"/>
      <c r="AQ12" s="276"/>
      <c r="AR12" s="276"/>
      <c r="AS12" s="276"/>
      <c r="AT12" s="276"/>
      <c r="AU12" s="276"/>
      <c r="AV12" s="276"/>
      <c r="AW12" s="278"/>
      <c r="AX12" s="277"/>
      <c r="AY12" s="276"/>
      <c r="AZ12" s="276"/>
      <c r="BA12" s="276"/>
      <c r="BB12" s="276"/>
      <c r="BC12" s="276"/>
      <c r="BD12" s="276"/>
      <c r="BE12" s="276"/>
      <c r="BF12" s="276"/>
      <c r="BG12" s="278"/>
      <c r="BH12" s="277"/>
      <c r="BI12" s="276"/>
      <c r="BJ12" s="276"/>
      <c r="BK12" s="276"/>
      <c r="BL12" s="276"/>
      <c r="BM12" s="276"/>
      <c r="BN12" s="276"/>
      <c r="BO12" s="276"/>
      <c r="BP12" s="276"/>
      <c r="BQ12" s="278"/>
      <c r="BR12" s="277"/>
      <c r="BS12" s="276"/>
      <c r="BT12" s="276"/>
      <c r="BU12" s="276"/>
      <c r="BV12" s="276"/>
      <c r="BW12" s="276"/>
      <c r="BX12" s="276"/>
      <c r="BY12" s="276"/>
      <c r="BZ12" s="276"/>
      <c r="CA12" s="278"/>
      <c r="CB12" s="277"/>
      <c r="CC12" s="276"/>
      <c r="CD12" s="276"/>
      <c r="CE12" s="276"/>
      <c r="CF12" s="276"/>
      <c r="CG12" s="276"/>
      <c r="CH12" s="276"/>
      <c r="CI12" s="276"/>
      <c r="CJ12" s="276"/>
      <c r="CK12" s="278"/>
      <c r="CL12" s="277"/>
      <c r="CM12" s="276"/>
      <c r="CN12" s="276"/>
      <c r="CO12" s="276"/>
      <c r="CP12" s="276"/>
      <c r="CQ12" s="276"/>
      <c r="CR12" s="276"/>
      <c r="CS12" s="276"/>
      <c r="CT12" s="276"/>
      <c r="CU12" s="278"/>
      <c r="CV12" s="277"/>
      <c r="CW12" s="276"/>
      <c r="CX12" s="276"/>
      <c r="CY12" s="276"/>
      <c r="CZ12" s="276"/>
      <c r="DA12" s="276"/>
      <c r="DB12" s="276"/>
      <c r="DC12" s="276"/>
      <c r="DD12" s="276"/>
      <c r="DE12" s="278"/>
      <c r="DF12" s="277"/>
      <c r="DG12" s="276"/>
      <c r="DH12" s="276"/>
      <c r="DI12" s="276"/>
      <c r="DJ12" s="276"/>
      <c r="DK12" s="276"/>
      <c r="DL12" s="276"/>
      <c r="DM12" s="276"/>
      <c r="DN12" s="276"/>
      <c r="DO12" s="278"/>
      <c r="DP12" s="277"/>
      <c r="DQ12" s="276"/>
      <c r="DR12" s="276"/>
      <c r="DS12" s="276"/>
      <c r="DT12" s="276"/>
      <c r="DU12" s="276"/>
      <c r="DV12" s="276"/>
      <c r="DW12" s="276"/>
      <c r="DX12" s="276"/>
      <c r="DY12" s="278"/>
      <c r="DZ12" s="277"/>
      <c r="EA12" s="276"/>
      <c r="EB12" s="276"/>
      <c r="EC12" s="276"/>
      <c r="ED12" s="276"/>
      <c r="EE12" s="276"/>
      <c r="EF12" s="276"/>
      <c r="EG12" s="276"/>
      <c r="EH12" s="276"/>
      <c r="EI12" s="278"/>
      <c r="EJ12" s="277"/>
      <c r="EK12" s="276"/>
      <c r="EL12" s="276"/>
      <c r="EM12" s="276"/>
      <c r="EN12" s="276"/>
      <c r="EO12" s="276"/>
      <c r="EP12" s="276"/>
      <c r="EQ12" s="276"/>
      <c r="ER12" s="276"/>
      <c r="ES12" s="278"/>
      <c r="ET12" s="277"/>
      <c r="EU12" s="276"/>
      <c r="EV12" s="276"/>
      <c r="EW12" s="276"/>
      <c r="EX12" s="276"/>
      <c r="EY12" s="276"/>
      <c r="EZ12" s="276"/>
      <c r="FA12" s="276"/>
      <c r="FB12" s="276"/>
      <c r="FC12" s="278"/>
      <c r="FD12" s="277"/>
      <c r="FE12" s="276"/>
      <c r="FF12" s="276"/>
      <c r="FG12" s="276"/>
      <c r="FH12" s="276"/>
      <c r="FI12" s="276"/>
      <c r="FJ12" s="276"/>
      <c r="FK12" s="276"/>
      <c r="FL12" s="276"/>
      <c r="FM12" s="278"/>
      <c r="FN12" s="277"/>
      <c r="FO12" s="276"/>
      <c r="FP12" s="276"/>
      <c r="FQ12" s="276"/>
      <c r="FR12" s="276"/>
      <c r="FS12" s="276"/>
      <c r="FT12" s="276"/>
      <c r="FU12" s="276"/>
      <c r="FV12" s="276"/>
      <c r="FW12" s="278"/>
    </row>
    <row r="13" spans="2:179" hidden="1">
      <c r="B13" s="473" t="s">
        <v>859</v>
      </c>
      <c r="C13" s="474"/>
      <c r="D13" s="474"/>
      <c r="E13" s="483"/>
      <c r="F13" s="263">
        <f>'[1]基本 (2)'!F108</f>
        <v>0</v>
      </c>
      <c r="G13" s="263">
        <f>ROUND(F13*1.7,1)</f>
        <v>0</v>
      </c>
      <c r="H13" s="264" t="s">
        <v>857</v>
      </c>
      <c r="I13" s="265">
        <v>0</v>
      </c>
      <c r="J13" s="251"/>
      <c r="K13" s="261"/>
      <c r="L13" s="255"/>
      <c r="M13" s="255"/>
      <c r="N13" s="255"/>
      <c r="O13" s="255"/>
      <c r="P13" s="255"/>
      <c r="Q13" s="255"/>
      <c r="R13" s="255"/>
      <c r="S13" s="255"/>
      <c r="T13" s="262"/>
      <c r="U13" s="255"/>
      <c r="V13" s="255"/>
      <c r="W13" s="255"/>
      <c r="X13" s="255"/>
      <c r="Y13" s="255"/>
      <c r="Z13" s="255"/>
      <c r="AA13" s="255"/>
      <c r="AB13" s="255"/>
      <c r="AC13" s="257"/>
      <c r="AD13" s="262"/>
      <c r="AE13" s="255"/>
      <c r="AF13" s="255"/>
      <c r="AG13" s="255"/>
      <c r="AH13" s="255"/>
      <c r="AI13" s="255"/>
      <c r="AJ13" s="255"/>
      <c r="AK13" s="255"/>
      <c r="AL13" s="255"/>
      <c r="AM13" s="257"/>
      <c r="AN13" s="262"/>
      <c r="AO13" s="255"/>
      <c r="AP13" s="255"/>
      <c r="AQ13" s="255"/>
      <c r="AR13" s="255"/>
      <c r="AS13" s="255"/>
      <c r="AT13" s="255"/>
      <c r="AU13" s="255"/>
      <c r="AV13" s="255"/>
      <c r="AW13" s="257"/>
      <c r="AX13" s="262"/>
      <c r="AY13" s="255"/>
      <c r="AZ13" s="255"/>
      <c r="BA13" s="255"/>
      <c r="BB13" s="255"/>
      <c r="BC13" s="255"/>
      <c r="BD13" s="255"/>
      <c r="BE13" s="255"/>
      <c r="BF13" s="255"/>
      <c r="BG13" s="257"/>
      <c r="BH13" s="262"/>
      <c r="BI13" s="255"/>
      <c r="BJ13" s="255"/>
      <c r="BK13" s="255"/>
      <c r="BL13" s="255"/>
      <c r="BM13" s="255"/>
      <c r="BN13" s="255"/>
      <c r="BO13" s="255"/>
      <c r="BP13" s="255"/>
      <c r="BQ13" s="257"/>
      <c r="BR13" s="262"/>
      <c r="BS13" s="255"/>
      <c r="BT13" s="255"/>
      <c r="BU13" s="255"/>
      <c r="BV13" s="255"/>
      <c r="BW13" s="255"/>
      <c r="BX13" s="255"/>
      <c r="BY13" s="255"/>
      <c r="BZ13" s="255"/>
      <c r="CA13" s="257"/>
      <c r="CB13" s="262"/>
      <c r="CC13" s="255"/>
      <c r="CD13" s="255"/>
      <c r="CE13" s="255"/>
      <c r="CF13" s="255"/>
      <c r="CG13" s="255"/>
      <c r="CH13" s="255"/>
      <c r="CI13" s="255"/>
      <c r="CJ13" s="255"/>
      <c r="CK13" s="257"/>
      <c r="CL13" s="262"/>
      <c r="CM13" s="255"/>
      <c r="CN13" s="255"/>
      <c r="CO13" s="255"/>
      <c r="CP13" s="255"/>
      <c r="CQ13" s="255"/>
      <c r="CR13" s="255"/>
      <c r="CS13" s="255"/>
      <c r="CT13" s="255"/>
      <c r="CU13" s="257"/>
      <c r="CV13" s="262"/>
      <c r="CW13" s="255"/>
      <c r="CX13" s="255"/>
      <c r="CY13" s="255"/>
      <c r="CZ13" s="255"/>
      <c r="DA13" s="255"/>
      <c r="DB13" s="255"/>
      <c r="DC13" s="255"/>
      <c r="DD13" s="255"/>
      <c r="DE13" s="257"/>
      <c r="DF13" s="262"/>
      <c r="DG13" s="255"/>
      <c r="DH13" s="255"/>
      <c r="DI13" s="255"/>
      <c r="DJ13" s="255"/>
      <c r="DK13" s="255"/>
      <c r="DL13" s="255"/>
      <c r="DM13" s="255"/>
      <c r="DN13" s="255"/>
      <c r="DO13" s="257"/>
      <c r="DP13" s="262"/>
      <c r="DQ13" s="255"/>
      <c r="DR13" s="255"/>
      <c r="DS13" s="255"/>
      <c r="DT13" s="255"/>
      <c r="DU13" s="255"/>
      <c r="DV13" s="255"/>
      <c r="DW13" s="255"/>
      <c r="DX13" s="255"/>
      <c r="DY13" s="257"/>
      <c r="DZ13" s="262"/>
      <c r="EA13" s="255"/>
      <c r="EB13" s="255"/>
      <c r="EC13" s="255"/>
      <c r="ED13" s="255"/>
      <c r="EE13" s="255"/>
      <c r="EF13" s="255"/>
      <c r="EG13" s="255"/>
      <c r="EH13" s="255"/>
      <c r="EI13" s="257"/>
      <c r="EJ13" s="262"/>
      <c r="EK13" s="255"/>
      <c r="EL13" s="255"/>
      <c r="EM13" s="255"/>
      <c r="EN13" s="255"/>
      <c r="EO13" s="255"/>
      <c r="EP13" s="255"/>
      <c r="EQ13" s="255"/>
      <c r="ER13" s="255"/>
      <c r="ES13" s="257"/>
      <c r="ET13" s="262"/>
      <c r="EU13" s="255"/>
      <c r="EV13" s="255"/>
      <c r="EW13" s="255"/>
      <c r="EX13" s="255"/>
      <c r="EY13" s="255"/>
      <c r="EZ13" s="255"/>
      <c r="FA13" s="255"/>
      <c r="FB13" s="255"/>
      <c r="FC13" s="257"/>
      <c r="FD13" s="262"/>
      <c r="FE13" s="255"/>
      <c r="FF13" s="255"/>
      <c r="FG13" s="255"/>
      <c r="FH13" s="255"/>
      <c r="FI13" s="255"/>
      <c r="FJ13" s="255"/>
      <c r="FK13" s="255"/>
      <c r="FL13" s="255"/>
      <c r="FM13" s="257"/>
      <c r="FN13" s="262"/>
      <c r="FO13" s="255"/>
      <c r="FP13" s="255"/>
      <c r="FQ13" s="255"/>
      <c r="FR13" s="255"/>
      <c r="FS13" s="255"/>
      <c r="FT13" s="255"/>
      <c r="FU13" s="255"/>
      <c r="FV13" s="255"/>
      <c r="FW13" s="257"/>
    </row>
    <row r="14" spans="2:179" hidden="1">
      <c r="B14" s="481"/>
      <c r="C14" s="482"/>
      <c r="D14" s="482"/>
      <c r="E14" s="482"/>
      <c r="F14" s="258"/>
      <c r="G14" s="258"/>
      <c r="H14" s="259" t="s">
        <v>858</v>
      </c>
      <c r="I14" s="260">
        <v>0</v>
      </c>
      <c r="J14" s="251"/>
      <c r="K14" s="261"/>
      <c r="L14" s="255"/>
      <c r="M14" s="255"/>
      <c r="N14" s="255"/>
      <c r="O14" s="255"/>
      <c r="P14" s="255"/>
      <c r="Q14" s="255"/>
      <c r="R14" s="255"/>
      <c r="S14" s="255"/>
      <c r="T14" s="262"/>
      <c r="U14" s="255"/>
      <c r="V14" s="255"/>
      <c r="W14" s="255"/>
      <c r="X14" s="255"/>
      <c r="Y14" s="255"/>
      <c r="Z14" s="255"/>
      <c r="AA14" s="255"/>
      <c r="AB14" s="255"/>
      <c r="AC14" s="257"/>
      <c r="AD14" s="262"/>
      <c r="AE14" s="255"/>
      <c r="AF14" s="255"/>
      <c r="AG14" s="255"/>
      <c r="AH14" s="255"/>
      <c r="AI14" s="255"/>
      <c r="AJ14" s="255"/>
      <c r="AK14" s="255"/>
      <c r="AL14" s="255"/>
      <c r="AM14" s="257"/>
      <c r="AN14" s="262"/>
      <c r="AO14" s="255"/>
      <c r="AP14" s="255"/>
      <c r="AQ14" s="255"/>
      <c r="AR14" s="255"/>
      <c r="AS14" s="255"/>
      <c r="AT14" s="255"/>
      <c r="AU14" s="255"/>
      <c r="AV14" s="255"/>
      <c r="AW14" s="257"/>
      <c r="AX14" s="262"/>
      <c r="AY14" s="255"/>
      <c r="AZ14" s="255"/>
      <c r="BA14" s="255"/>
      <c r="BB14" s="255"/>
      <c r="BC14" s="255"/>
      <c r="BD14" s="255"/>
      <c r="BE14" s="255"/>
      <c r="BF14" s="255"/>
      <c r="BG14" s="257"/>
      <c r="BH14" s="262"/>
      <c r="BI14" s="255"/>
      <c r="BJ14" s="255"/>
      <c r="BK14" s="255"/>
      <c r="BL14" s="255"/>
      <c r="BM14" s="255"/>
      <c r="BN14" s="255"/>
      <c r="BO14" s="255"/>
      <c r="BP14" s="255"/>
      <c r="BQ14" s="257"/>
      <c r="BR14" s="262"/>
      <c r="BS14" s="255"/>
      <c r="BT14" s="255"/>
      <c r="BU14" s="255"/>
      <c r="BV14" s="255"/>
      <c r="BW14" s="255"/>
      <c r="BX14" s="255"/>
      <c r="BY14" s="255"/>
      <c r="BZ14" s="255"/>
      <c r="CA14" s="257"/>
      <c r="CB14" s="262"/>
      <c r="CC14" s="255"/>
      <c r="CD14" s="255"/>
      <c r="CE14" s="255"/>
      <c r="CF14" s="255"/>
      <c r="CG14" s="255"/>
      <c r="CH14" s="255"/>
      <c r="CI14" s="255"/>
      <c r="CJ14" s="255"/>
      <c r="CK14" s="257"/>
      <c r="CL14" s="262"/>
      <c r="CM14" s="255"/>
      <c r="CN14" s="255"/>
      <c r="CO14" s="255"/>
      <c r="CP14" s="255"/>
      <c r="CQ14" s="255"/>
      <c r="CR14" s="255"/>
      <c r="CS14" s="255"/>
      <c r="CT14" s="255"/>
      <c r="CU14" s="257"/>
      <c r="CV14" s="262"/>
      <c r="CW14" s="255"/>
      <c r="CX14" s="255"/>
      <c r="CY14" s="255"/>
      <c r="CZ14" s="255"/>
      <c r="DA14" s="255"/>
      <c r="DB14" s="255"/>
      <c r="DC14" s="255"/>
      <c r="DD14" s="255"/>
      <c r="DE14" s="257"/>
      <c r="DF14" s="262"/>
      <c r="DG14" s="255"/>
      <c r="DH14" s="255"/>
      <c r="DI14" s="255"/>
      <c r="DJ14" s="255"/>
      <c r="DK14" s="255"/>
      <c r="DL14" s="255"/>
      <c r="DM14" s="255"/>
      <c r="DN14" s="255"/>
      <c r="DO14" s="257"/>
      <c r="DP14" s="262"/>
      <c r="DQ14" s="255"/>
      <c r="DR14" s="255"/>
      <c r="DS14" s="255"/>
      <c r="DT14" s="255"/>
      <c r="DU14" s="255"/>
      <c r="DV14" s="255"/>
      <c r="DW14" s="255"/>
      <c r="DX14" s="255"/>
      <c r="DY14" s="257"/>
      <c r="DZ14" s="262"/>
      <c r="EA14" s="255"/>
      <c r="EB14" s="255"/>
      <c r="EC14" s="255"/>
      <c r="ED14" s="255"/>
      <c r="EE14" s="255"/>
      <c r="EF14" s="255"/>
      <c r="EG14" s="255"/>
      <c r="EH14" s="255"/>
      <c r="EI14" s="257"/>
      <c r="EJ14" s="262"/>
      <c r="EK14" s="255"/>
      <c r="EL14" s="255"/>
      <c r="EM14" s="255"/>
      <c r="EN14" s="255"/>
      <c r="EO14" s="255"/>
      <c r="EP14" s="255"/>
      <c r="EQ14" s="255"/>
      <c r="ER14" s="255"/>
      <c r="ES14" s="257"/>
      <c r="ET14" s="262"/>
      <c r="EU14" s="255"/>
      <c r="EV14" s="255"/>
      <c r="EW14" s="255"/>
      <c r="EX14" s="255"/>
      <c r="EY14" s="255"/>
      <c r="EZ14" s="255"/>
      <c r="FA14" s="255"/>
      <c r="FB14" s="255"/>
      <c r="FC14" s="257"/>
      <c r="FD14" s="262"/>
      <c r="FE14" s="255"/>
      <c r="FF14" s="255"/>
      <c r="FG14" s="255"/>
      <c r="FH14" s="255"/>
      <c r="FI14" s="255"/>
      <c r="FJ14" s="255"/>
      <c r="FK14" s="255"/>
      <c r="FL14" s="255"/>
      <c r="FM14" s="257"/>
      <c r="FN14" s="262"/>
      <c r="FO14" s="255"/>
      <c r="FP14" s="255"/>
      <c r="FQ14" s="255"/>
      <c r="FR14" s="255"/>
      <c r="FS14" s="255"/>
      <c r="FT14" s="255"/>
      <c r="FU14" s="255"/>
      <c r="FV14" s="255"/>
      <c r="FW14" s="257"/>
    </row>
    <row r="15" spans="2:179" ht="14.25" thickBot="1">
      <c r="B15" s="484" t="s">
        <v>97</v>
      </c>
      <c r="C15" s="484"/>
      <c r="D15" s="484"/>
      <c r="E15" s="473"/>
      <c r="F15" s="263">
        <f>'[1]基本 (2)'!F109</f>
        <v>12.5</v>
      </c>
      <c r="G15" s="263">
        <f>ROUND(F15*1.7,1)</f>
        <v>21.3</v>
      </c>
      <c r="H15" s="264" t="s">
        <v>847</v>
      </c>
      <c r="I15" s="265" t="s">
        <v>847</v>
      </c>
      <c r="J15" s="266">
        <v>6</v>
      </c>
      <c r="K15" s="267"/>
      <c r="L15" s="268"/>
      <c r="M15" s="268"/>
      <c r="N15" s="268"/>
      <c r="O15" s="268"/>
      <c r="P15" s="268"/>
      <c r="Q15" s="268"/>
      <c r="R15" s="268"/>
      <c r="S15" s="268"/>
      <c r="T15" s="273"/>
      <c r="U15" s="268"/>
      <c r="V15" s="268"/>
      <c r="W15" s="268"/>
      <c r="X15" s="268"/>
      <c r="Y15" s="268"/>
      <c r="Z15" s="268"/>
      <c r="AA15" s="268"/>
      <c r="AB15" s="268"/>
      <c r="AC15" s="272"/>
      <c r="AD15" s="273"/>
      <c r="AE15" s="268"/>
      <c r="AF15" s="268"/>
      <c r="AG15" s="268"/>
      <c r="AH15" s="268"/>
      <c r="AI15" s="268"/>
      <c r="AJ15" s="268"/>
      <c r="AK15" s="268"/>
      <c r="AL15" s="268"/>
      <c r="AM15" s="272"/>
      <c r="AN15" s="273"/>
      <c r="AO15" s="268"/>
      <c r="AP15" s="268"/>
      <c r="AQ15" s="268"/>
      <c r="AR15" s="268"/>
      <c r="AS15" s="268"/>
      <c r="AT15" s="268"/>
      <c r="AU15" s="268"/>
      <c r="AV15" s="268"/>
      <c r="AW15" s="272"/>
      <c r="AX15" s="273"/>
      <c r="AY15" s="268"/>
      <c r="AZ15" s="268"/>
      <c r="BA15" s="268"/>
      <c r="BB15" s="268"/>
      <c r="BC15" s="268"/>
      <c r="BD15" s="268"/>
      <c r="BE15" s="268"/>
      <c r="BF15" s="268"/>
      <c r="BG15" s="272"/>
      <c r="BH15" s="273"/>
      <c r="BI15" s="268"/>
      <c r="BJ15" s="268"/>
      <c r="BK15" s="268"/>
      <c r="BL15" s="268"/>
      <c r="BM15" s="268"/>
      <c r="BN15" s="269"/>
      <c r="BO15" s="269"/>
      <c r="BP15" s="269"/>
      <c r="BQ15" s="271"/>
      <c r="BR15" s="270"/>
      <c r="BS15" s="269"/>
      <c r="BT15" s="269"/>
      <c r="BU15" s="269"/>
      <c r="BV15" s="269"/>
      <c r="BW15" s="269"/>
      <c r="BX15" s="269"/>
      <c r="BY15" s="269"/>
      <c r="BZ15" s="269"/>
      <c r="CA15" s="271"/>
      <c r="CB15" s="270"/>
      <c r="CC15" s="269"/>
      <c r="CD15" s="269"/>
      <c r="CE15" s="269"/>
      <c r="CF15" s="269"/>
      <c r="CG15" s="269"/>
      <c r="CH15" s="269"/>
      <c r="CI15" s="268"/>
      <c r="CJ15" s="268"/>
      <c r="CK15" s="272"/>
      <c r="CL15" s="273"/>
      <c r="CM15" s="268"/>
      <c r="CN15" s="268"/>
      <c r="CO15" s="268"/>
      <c r="CP15" s="268"/>
      <c r="CQ15" s="268"/>
      <c r="CR15" s="268"/>
      <c r="CS15" s="268"/>
      <c r="CT15" s="268"/>
      <c r="CU15" s="272"/>
      <c r="CV15" s="273"/>
      <c r="CW15" s="268"/>
      <c r="CX15" s="268"/>
      <c r="CY15" s="268"/>
      <c r="CZ15" s="268"/>
      <c r="DA15" s="268"/>
      <c r="DB15" s="268"/>
      <c r="DC15" s="268"/>
      <c r="DD15" s="268"/>
      <c r="DE15" s="272"/>
      <c r="DF15" s="273"/>
      <c r="DG15" s="268"/>
      <c r="DH15" s="268"/>
      <c r="DI15" s="268"/>
      <c r="DJ15" s="268"/>
      <c r="DK15" s="268"/>
      <c r="DL15" s="268"/>
      <c r="DM15" s="268"/>
      <c r="DN15" s="268"/>
      <c r="DO15" s="272"/>
      <c r="DP15" s="273"/>
      <c r="DQ15" s="268"/>
      <c r="DR15" s="268"/>
      <c r="DS15" s="268"/>
      <c r="DT15" s="268"/>
      <c r="DU15" s="268"/>
      <c r="DV15" s="268"/>
      <c r="DW15" s="268"/>
      <c r="DX15" s="268"/>
      <c r="DY15" s="272"/>
      <c r="DZ15" s="273"/>
      <c r="EA15" s="268"/>
      <c r="EB15" s="268"/>
      <c r="EC15" s="268"/>
      <c r="ED15" s="268"/>
      <c r="EE15" s="268"/>
      <c r="EF15" s="268"/>
      <c r="EG15" s="268"/>
      <c r="EH15" s="268"/>
      <c r="EI15" s="272"/>
      <c r="EJ15" s="273"/>
      <c r="EK15" s="268"/>
      <c r="EL15" s="268"/>
      <c r="EM15" s="268"/>
      <c r="EN15" s="268"/>
      <c r="EO15" s="268"/>
      <c r="EP15" s="268"/>
      <c r="EQ15" s="268"/>
      <c r="ER15" s="268"/>
      <c r="ES15" s="272"/>
      <c r="ET15" s="273"/>
      <c r="EU15" s="268"/>
      <c r="EV15" s="268"/>
      <c r="EW15" s="268"/>
      <c r="EX15" s="268"/>
      <c r="EY15" s="268"/>
      <c r="EZ15" s="268"/>
      <c r="FA15" s="268"/>
      <c r="FB15" s="268"/>
      <c r="FC15" s="272"/>
      <c r="FD15" s="273"/>
      <c r="FE15" s="268"/>
      <c r="FF15" s="268"/>
      <c r="FG15" s="268"/>
      <c r="FH15" s="268"/>
      <c r="FI15" s="268"/>
      <c r="FJ15" s="268"/>
      <c r="FK15" s="268"/>
      <c r="FL15" s="268"/>
      <c r="FM15" s="272"/>
      <c r="FN15" s="273"/>
      <c r="FO15" s="268"/>
      <c r="FP15" s="268"/>
      <c r="FQ15" s="268"/>
      <c r="FR15" s="268"/>
      <c r="FS15" s="268"/>
      <c r="FT15" s="268"/>
      <c r="FU15" s="268"/>
      <c r="FV15" s="268"/>
      <c r="FW15" s="272"/>
    </row>
    <row r="16" spans="2:179">
      <c r="B16" s="481"/>
      <c r="C16" s="482"/>
      <c r="D16" s="482"/>
      <c r="E16" s="482"/>
      <c r="F16" s="258"/>
      <c r="G16" s="258"/>
      <c r="H16" s="259"/>
      <c r="I16" s="260"/>
      <c r="J16" s="274"/>
      <c r="K16" s="275"/>
      <c r="L16" s="276"/>
      <c r="M16" s="276"/>
      <c r="N16" s="276"/>
      <c r="O16" s="276"/>
      <c r="P16" s="276"/>
      <c r="Q16" s="276"/>
      <c r="R16" s="276"/>
      <c r="S16" s="276"/>
      <c r="T16" s="277"/>
      <c r="U16" s="276"/>
      <c r="V16" s="276"/>
      <c r="W16" s="276"/>
      <c r="X16" s="276"/>
      <c r="Y16" s="276"/>
      <c r="Z16" s="276"/>
      <c r="AA16" s="276"/>
      <c r="AB16" s="276"/>
      <c r="AC16" s="278"/>
      <c r="AD16" s="277"/>
      <c r="AE16" s="276"/>
      <c r="AF16" s="276"/>
      <c r="AG16" s="276"/>
      <c r="AH16" s="276"/>
      <c r="AI16" s="276"/>
      <c r="AJ16" s="276"/>
      <c r="AK16" s="276"/>
      <c r="AL16" s="276"/>
      <c r="AM16" s="278"/>
      <c r="AN16" s="277"/>
      <c r="AO16" s="276"/>
      <c r="AP16" s="276"/>
      <c r="AQ16" s="276"/>
      <c r="AR16" s="276"/>
      <c r="AS16" s="276"/>
      <c r="AT16" s="276"/>
      <c r="AU16" s="276"/>
      <c r="AV16" s="276"/>
      <c r="AW16" s="278"/>
      <c r="AX16" s="277"/>
      <c r="AY16" s="276"/>
      <c r="AZ16" s="276"/>
      <c r="BA16" s="276"/>
      <c r="BB16" s="276"/>
      <c r="BC16" s="276"/>
      <c r="BD16" s="276"/>
      <c r="BE16" s="276"/>
      <c r="BF16" s="276"/>
      <c r="BG16" s="278"/>
      <c r="BH16" s="277"/>
      <c r="BI16" s="276"/>
      <c r="BJ16" s="276"/>
      <c r="BK16" s="276"/>
      <c r="BL16" s="276"/>
      <c r="BM16" s="276"/>
      <c r="BN16" s="276"/>
      <c r="BO16" s="276"/>
      <c r="BP16" s="276"/>
      <c r="BQ16" s="278"/>
      <c r="BR16" s="277"/>
      <c r="BS16" s="276"/>
      <c r="BT16" s="276"/>
      <c r="BU16" s="276"/>
      <c r="BV16" s="276"/>
      <c r="BW16" s="276"/>
      <c r="BX16" s="276"/>
      <c r="BY16" s="276"/>
      <c r="BZ16" s="276"/>
      <c r="CA16" s="278"/>
      <c r="CB16" s="277"/>
      <c r="CC16" s="276"/>
      <c r="CD16" s="276"/>
      <c r="CE16" s="276"/>
      <c r="CF16" s="276"/>
      <c r="CG16" s="276"/>
      <c r="CH16" s="276"/>
      <c r="CI16" s="276"/>
      <c r="CJ16" s="276"/>
      <c r="CK16" s="278"/>
      <c r="CL16" s="277"/>
      <c r="CM16" s="276"/>
      <c r="CN16" s="276"/>
      <c r="CO16" s="276"/>
      <c r="CP16" s="276"/>
      <c r="CQ16" s="276"/>
      <c r="CR16" s="276"/>
      <c r="CS16" s="276"/>
      <c r="CT16" s="276"/>
      <c r="CU16" s="278"/>
      <c r="CV16" s="277"/>
      <c r="CW16" s="276"/>
      <c r="CX16" s="276"/>
      <c r="CY16" s="276"/>
      <c r="CZ16" s="276"/>
      <c r="DA16" s="276"/>
      <c r="DB16" s="276"/>
      <c r="DC16" s="276"/>
      <c r="DD16" s="276"/>
      <c r="DE16" s="278"/>
      <c r="DF16" s="277"/>
      <c r="DG16" s="276"/>
      <c r="DH16" s="276"/>
      <c r="DI16" s="276"/>
      <c r="DJ16" s="276"/>
      <c r="DK16" s="276"/>
      <c r="DL16" s="276"/>
      <c r="DM16" s="276"/>
      <c r="DN16" s="276"/>
      <c r="DO16" s="278"/>
      <c r="DP16" s="277"/>
      <c r="DQ16" s="276"/>
      <c r="DR16" s="276"/>
      <c r="DS16" s="276"/>
      <c r="DT16" s="276"/>
      <c r="DU16" s="276"/>
      <c r="DV16" s="276"/>
      <c r="DW16" s="276"/>
      <c r="DX16" s="276"/>
      <c r="DY16" s="278"/>
      <c r="DZ16" s="277"/>
      <c r="EA16" s="276"/>
      <c r="EB16" s="276"/>
      <c r="EC16" s="276"/>
      <c r="ED16" s="276"/>
      <c r="EE16" s="276"/>
      <c r="EF16" s="276"/>
      <c r="EG16" s="276"/>
      <c r="EH16" s="276"/>
      <c r="EI16" s="278"/>
      <c r="EJ16" s="277"/>
      <c r="EK16" s="276"/>
      <c r="EL16" s="276"/>
      <c r="EM16" s="276"/>
      <c r="EN16" s="276"/>
      <c r="EO16" s="276"/>
      <c r="EP16" s="276"/>
      <c r="EQ16" s="276"/>
      <c r="ER16" s="276"/>
      <c r="ES16" s="278"/>
      <c r="ET16" s="277"/>
      <c r="EU16" s="276"/>
      <c r="EV16" s="276"/>
      <c r="EW16" s="276"/>
      <c r="EX16" s="276"/>
      <c r="EY16" s="276"/>
      <c r="EZ16" s="276"/>
      <c r="FA16" s="276"/>
      <c r="FB16" s="276"/>
      <c r="FC16" s="278"/>
      <c r="FD16" s="277"/>
      <c r="FE16" s="276"/>
      <c r="FF16" s="276"/>
      <c r="FG16" s="276"/>
      <c r="FH16" s="276"/>
      <c r="FI16" s="276"/>
      <c r="FJ16" s="276"/>
      <c r="FK16" s="276"/>
      <c r="FL16" s="276"/>
      <c r="FM16" s="278"/>
      <c r="FN16" s="277"/>
      <c r="FO16" s="276"/>
      <c r="FP16" s="276"/>
      <c r="FQ16" s="276"/>
      <c r="FR16" s="276"/>
      <c r="FS16" s="276"/>
      <c r="FT16" s="276"/>
      <c r="FU16" s="276"/>
      <c r="FV16" s="276"/>
      <c r="FW16" s="278"/>
    </row>
    <row r="17" spans="2:179" hidden="1">
      <c r="B17" s="484" t="s">
        <v>586</v>
      </c>
      <c r="C17" s="484"/>
      <c r="D17" s="484"/>
      <c r="E17" s="484"/>
      <c r="F17" s="263">
        <f>'[1]基本 (2)'!F110</f>
        <v>0</v>
      </c>
      <c r="G17" s="263">
        <f>ROUND(F17*1.7,1)</f>
        <v>0</v>
      </c>
      <c r="H17" s="264" t="s">
        <v>847</v>
      </c>
      <c r="I17" s="265" t="s">
        <v>847</v>
      </c>
      <c r="J17" s="266"/>
      <c r="K17" s="267"/>
      <c r="L17" s="268"/>
      <c r="M17" s="268"/>
      <c r="N17" s="268"/>
      <c r="O17" s="268"/>
      <c r="P17" s="268"/>
      <c r="Q17" s="268"/>
      <c r="R17" s="268"/>
      <c r="S17" s="268"/>
      <c r="T17" s="273"/>
      <c r="U17" s="268"/>
      <c r="V17" s="268"/>
      <c r="W17" s="268"/>
      <c r="X17" s="268"/>
      <c r="Y17" s="268"/>
      <c r="Z17" s="268"/>
      <c r="AA17" s="268"/>
      <c r="AB17" s="268"/>
      <c r="AC17" s="272"/>
      <c r="AD17" s="273"/>
      <c r="AE17" s="268"/>
      <c r="AF17" s="268"/>
      <c r="AG17" s="268"/>
      <c r="AH17" s="268"/>
      <c r="AI17" s="268"/>
      <c r="AJ17" s="268"/>
      <c r="AK17" s="268"/>
      <c r="AL17" s="268"/>
      <c r="AM17" s="272"/>
      <c r="AN17" s="273"/>
      <c r="AO17" s="268"/>
      <c r="AP17" s="268"/>
      <c r="AQ17" s="268"/>
      <c r="AR17" s="268"/>
      <c r="AS17" s="268"/>
      <c r="AT17" s="268"/>
      <c r="AU17" s="268"/>
      <c r="AV17" s="268"/>
      <c r="AW17" s="272"/>
      <c r="AX17" s="273"/>
      <c r="AY17" s="268"/>
      <c r="AZ17" s="268"/>
      <c r="BA17" s="268"/>
      <c r="BB17" s="268"/>
      <c r="BC17" s="268"/>
      <c r="BD17" s="268"/>
      <c r="BE17" s="268"/>
      <c r="BF17" s="268"/>
      <c r="BG17" s="272"/>
      <c r="BH17" s="273"/>
      <c r="BI17" s="268"/>
      <c r="BJ17" s="268"/>
      <c r="BK17" s="268"/>
      <c r="BL17" s="268"/>
      <c r="BM17" s="268"/>
      <c r="BN17" s="268"/>
      <c r="BO17" s="268"/>
      <c r="BP17" s="268"/>
      <c r="BQ17" s="272"/>
      <c r="BR17" s="273"/>
      <c r="BS17" s="268"/>
      <c r="BT17" s="268"/>
      <c r="BU17" s="268"/>
      <c r="BV17" s="268"/>
      <c r="BW17" s="268"/>
      <c r="BX17" s="268"/>
      <c r="BY17" s="268"/>
      <c r="BZ17" s="268"/>
      <c r="CA17" s="272"/>
      <c r="CB17" s="273"/>
      <c r="CC17" s="268"/>
      <c r="CD17" s="268"/>
      <c r="CE17" s="268"/>
      <c r="CF17" s="268"/>
      <c r="CG17" s="268"/>
      <c r="CH17" s="268"/>
      <c r="CI17" s="268"/>
      <c r="CJ17" s="268"/>
      <c r="CK17" s="272"/>
      <c r="CL17" s="273"/>
      <c r="CM17" s="268"/>
      <c r="CN17" s="268"/>
      <c r="CO17" s="268"/>
      <c r="CP17" s="268"/>
      <c r="CQ17" s="268"/>
      <c r="CR17" s="268"/>
      <c r="CS17" s="268"/>
      <c r="CT17" s="268"/>
      <c r="CU17" s="272"/>
      <c r="CV17" s="273"/>
      <c r="CW17" s="268"/>
      <c r="CX17" s="268"/>
      <c r="CY17" s="268"/>
      <c r="CZ17" s="268"/>
      <c r="DA17" s="268"/>
      <c r="DB17" s="268"/>
      <c r="DC17" s="268"/>
      <c r="DD17" s="268"/>
      <c r="DE17" s="272"/>
      <c r="DF17" s="273"/>
      <c r="DG17" s="268"/>
      <c r="DH17" s="268"/>
      <c r="DI17" s="268"/>
      <c r="DJ17" s="268"/>
      <c r="DK17" s="268"/>
      <c r="DL17" s="268"/>
      <c r="DM17" s="268"/>
      <c r="DN17" s="268"/>
      <c r="DO17" s="272"/>
      <c r="DP17" s="273"/>
      <c r="DQ17" s="268"/>
      <c r="DR17" s="268"/>
      <c r="DS17" s="268"/>
      <c r="DT17" s="268"/>
      <c r="DU17" s="268"/>
      <c r="DV17" s="268"/>
      <c r="DW17" s="268"/>
      <c r="DX17" s="268"/>
      <c r="DY17" s="272"/>
      <c r="DZ17" s="273"/>
      <c r="EA17" s="268"/>
      <c r="EB17" s="268"/>
      <c r="EC17" s="268"/>
      <c r="ED17" s="268"/>
      <c r="EE17" s="268"/>
      <c r="EF17" s="268"/>
      <c r="EG17" s="268"/>
      <c r="EH17" s="268"/>
      <c r="EI17" s="272"/>
      <c r="EJ17" s="273"/>
      <c r="EK17" s="268"/>
      <c r="EL17" s="268"/>
      <c r="EM17" s="268"/>
      <c r="EN17" s="268"/>
      <c r="EO17" s="268"/>
      <c r="EP17" s="268"/>
      <c r="EQ17" s="268"/>
      <c r="ER17" s="268"/>
      <c r="ES17" s="272"/>
      <c r="ET17" s="273"/>
      <c r="EU17" s="268"/>
      <c r="EV17" s="268"/>
      <c r="EW17" s="268"/>
      <c r="EX17" s="268"/>
      <c r="EY17" s="268"/>
      <c r="EZ17" s="268"/>
      <c r="FA17" s="268"/>
      <c r="FB17" s="268"/>
      <c r="FC17" s="272"/>
      <c r="FD17" s="273"/>
      <c r="FE17" s="268"/>
      <c r="FF17" s="268"/>
      <c r="FG17" s="268"/>
      <c r="FH17" s="268"/>
      <c r="FI17" s="268"/>
      <c r="FJ17" s="268"/>
      <c r="FK17" s="268"/>
      <c r="FL17" s="268"/>
      <c r="FM17" s="272"/>
      <c r="FN17" s="273"/>
      <c r="FO17" s="268"/>
      <c r="FP17" s="268"/>
      <c r="FQ17" s="268"/>
      <c r="FR17" s="268"/>
      <c r="FS17" s="268"/>
      <c r="FT17" s="268"/>
      <c r="FU17" s="268"/>
      <c r="FV17" s="268"/>
      <c r="FW17" s="272"/>
    </row>
    <row r="18" spans="2:179" hidden="1">
      <c r="B18" s="481"/>
      <c r="C18" s="482"/>
      <c r="D18" s="482"/>
      <c r="E18" s="487"/>
      <c r="F18" s="258"/>
      <c r="G18" s="258"/>
      <c r="H18" s="259"/>
      <c r="I18" s="260"/>
      <c r="J18" s="274"/>
      <c r="K18" s="275"/>
      <c r="L18" s="276"/>
      <c r="M18" s="276"/>
      <c r="N18" s="276"/>
      <c r="O18" s="276"/>
      <c r="P18" s="276"/>
      <c r="Q18" s="276"/>
      <c r="R18" s="276"/>
      <c r="S18" s="276"/>
      <c r="T18" s="277"/>
      <c r="U18" s="276"/>
      <c r="V18" s="276"/>
      <c r="W18" s="276"/>
      <c r="X18" s="276"/>
      <c r="Y18" s="276"/>
      <c r="Z18" s="276"/>
      <c r="AA18" s="276"/>
      <c r="AB18" s="276"/>
      <c r="AC18" s="278"/>
      <c r="AD18" s="277"/>
      <c r="AE18" s="276"/>
      <c r="AF18" s="276"/>
      <c r="AG18" s="276"/>
      <c r="AH18" s="276"/>
      <c r="AI18" s="276"/>
      <c r="AJ18" s="276"/>
      <c r="AK18" s="276"/>
      <c r="AL18" s="276"/>
      <c r="AM18" s="278"/>
      <c r="AN18" s="277"/>
      <c r="AO18" s="276"/>
      <c r="AP18" s="276"/>
      <c r="AQ18" s="276"/>
      <c r="AR18" s="276"/>
      <c r="AS18" s="276"/>
      <c r="AT18" s="276"/>
      <c r="AU18" s="276"/>
      <c r="AV18" s="276"/>
      <c r="AW18" s="278"/>
      <c r="AX18" s="277"/>
      <c r="AY18" s="276"/>
      <c r="AZ18" s="276"/>
      <c r="BA18" s="276"/>
      <c r="BB18" s="276"/>
      <c r="BC18" s="276"/>
      <c r="BD18" s="276"/>
      <c r="BE18" s="276"/>
      <c r="BF18" s="276"/>
      <c r="BG18" s="278"/>
      <c r="BH18" s="277"/>
      <c r="BI18" s="276"/>
      <c r="BJ18" s="276"/>
      <c r="BK18" s="276"/>
      <c r="BL18" s="276"/>
      <c r="BM18" s="276"/>
      <c r="BN18" s="276"/>
      <c r="BO18" s="276"/>
      <c r="BP18" s="276"/>
      <c r="BQ18" s="278"/>
      <c r="BR18" s="277"/>
      <c r="BS18" s="276"/>
      <c r="BT18" s="276"/>
      <c r="BU18" s="276"/>
      <c r="BV18" s="276"/>
      <c r="BW18" s="276"/>
      <c r="BX18" s="276"/>
      <c r="BY18" s="276"/>
      <c r="BZ18" s="276"/>
      <c r="CA18" s="278"/>
      <c r="CB18" s="277"/>
      <c r="CC18" s="276"/>
      <c r="CD18" s="276"/>
      <c r="CE18" s="276"/>
      <c r="CF18" s="276"/>
      <c r="CG18" s="276"/>
      <c r="CH18" s="276"/>
      <c r="CI18" s="276"/>
      <c r="CJ18" s="276"/>
      <c r="CK18" s="278"/>
      <c r="CL18" s="277"/>
      <c r="CM18" s="276"/>
      <c r="CN18" s="276"/>
      <c r="CO18" s="276"/>
      <c r="CP18" s="276"/>
      <c r="CQ18" s="276"/>
      <c r="CR18" s="276"/>
      <c r="CS18" s="276"/>
      <c r="CT18" s="276"/>
      <c r="CU18" s="278"/>
      <c r="CV18" s="277"/>
      <c r="CW18" s="276"/>
      <c r="CX18" s="276"/>
      <c r="CY18" s="276"/>
      <c r="CZ18" s="276"/>
      <c r="DA18" s="276"/>
      <c r="DB18" s="276"/>
      <c r="DC18" s="276"/>
      <c r="DD18" s="276"/>
      <c r="DE18" s="278"/>
      <c r="DF18" s="277"/>
      <c r="DG18" s="276"/>
      <c r="DH18" s="276"/>
      <c r="DI18" s="276"/>
      <c r="DJ18" s="276"/>
      <c r="DK18" s="276"/>
      <c r="DL18" s="276"/>
      <c r="DM18" s="276"/>
      <c r="DN18" s="276"/>
      <c r="DO18" s="278"/>
      <c r="DP18" s="277"/>
      <c r="DQ18" s="276"/>
      <c r="DR18" s="276"/>
      <c r="DS18" s="276"/>
      <c r="DT18" s="276"/>
      <c r="DU18" s="276"/>
      <c r="DV18" s="276"/>
      <c r="DW18" s="276"/>
      <c r="DX18" s="276"/>
      <c r="DY18" s="278"/>
      <c r="DZ18" s="277"/>
      <c r="EA18" s="276"/>
      <c r="EB18" s="276"/>
      <c r="EC18" s="276"/>
      <c r="ED18" s="276"/>
      <c r="EE18" s="276"/>
      <c r="EF18" s="276"/>
      <c r="EG18" s="276"/>
      <c r="EH18" s="276"/>
      <c r="EI18" s="278"/>
      <c r="EJ18" s="277"/>
      <c r="EK18" s="276"/>
      <c r="EL18" s="276"/>
      <c r="EM18" s="276"/>
      <c r="EN18" s="276"/>
      <c r="EO18" s="276"/>
      <c r="EP18" s="276"/>
      <c r="EQ18" s="276"/>
      <c r="ER18" s="276"/>
      <c r="ES18" s="278"/>
      <c r="ET18" s="277"/>
      <c r="EU18" s="276"/>
      <c r="EV18" s="276"/>
      <c r="EW18" s="276"/>
      <c r="EX18" s="276"/>
      <c r="EY18" s="276"/>
      <c r="EZ18" s="276"/>
      <c r="FA18" s="276"/>
      <c r="FB18" s="276"/>
      <c r="FC18" s="278"/>
      <c r="FD18" s="277"/>
      <c r="FE18" s="276"/>
      <c r="FF18" s="276"/>
      <c r="FG18" s="276"/>
      <c r="FH18" s="276"/>
      <c r="FI18" s="276"/>
      <c r="FJ18" s="276"/>
      <c r="FK18" s="276"/>
      <c r="FL18" s="276"/>
      <c r="FM18" s="278"/>
      <c r="FN18" s="277"/>
      <c r="FO18" s="276"/>
      <c r="FP18" s="276"/>
      <c r="FQ18" s="276"/>
      <c r="FR18" s="276"/>
      <c r="FS18" s="276"/>
      <c r="FT18" s="276"/>
      <c r="FU18" s="276"/>
      <c r="FV18" s="276"/>
      <c r="FW18" s="278"/>
    </row>
    <row r="19" spans="2:179" hidden="1">
      <c r="B19" s="484" t="s">
        <v>860</v>
      </c>
      <c r="C19" s="484"/>
      <c r="D19" s="484"/>
      <c r="E19" s="484"/>
      <c r="F19" s="263">
        <f>'[1]基本 (2)'!F111</f>
        <v>0</v>
      </c>
      <c r="G19" s="263">
        <f>ROUND(F19*1.7,1)</f>
        <v>0</v>
      </c>
      <c r="H19" s="264" t="s">
        <v>857</v>
      </c>
      <c r="I19" s="265">
        <f>ROUND(G19*2/3,1)</f>
        <v>0</v>
      </c>
      <c r="J19" s="266"/>
      <c r="K19" s="267"/>
      <c r="L19" s="268"/>
      <c r="M19" s="268"/>
      <c r="N19" s="268"/>
      <c r="O19" s="268"/>
      <c r="P19" s="268"/>
      <c r="Q19" s="268"/>
      <c r="R19" s="268"/>
      <c r="S19" s="268"/>
      <c r="T19" s="273"/>
      <c r="U19" s="268"/>
      <c r="V19" s="268"/>
      <c r="W19" s="268"/>
      <c r="X19" s="268"/>
      <c r="Y19" s="268"/>
      <c r="Z19" s="268"/>
      <c r="AA19" s="268"/>
      <c r="AB19" s="268"/>
      <c r="AC19" s="272"/>
      <c r="AD19" s="273"/>
      <c r="AE19" s="268"/>
      <c r="AF19" s="268"/>
      <c r="AG19" s="268"/>
      <c r="AH19" s="268"/>
      <c r="AI19" s="268"/>
      <c r="AJ19" s="268"/>
      <c r="AK19" s="268"/>
      <c r="AL19" s="268"/>
      <c r="AM19" s="272"/>
      <c r="AN19" s="273"/>
      <c r="AO19" s="268"/>
      <c r="AP19" s="268"/>
      <c r="AQ19" s="268"/>
      <c r="AR19" s="268"/>
      <c r="AS19" s="268"/>
      <c r="AT19" s="268"/>
      <c r="AU19" s="268"/>
      <c r="AV19" s="268"/>
      <c r="AW19" s="272"/>
      <c r="AX19" s="273"/>
      <c r="AY19" s="268"/>
      <c r="AZ19" s="268"/>
      <c r="BA19" s="268"/>
      <c r="BB19" s="268"/>
      <c r="BC19" s="268"/>
      <c r="BD19" s="268"/>
      <c r="BE19" s="268"/>
      <c r="BF19" s="268"/>
      <c r="BG19" s="272"/>
      <c r="BH19" s="273"/>
      <c r="BI19" s="268"/>
      <c r="BJ19" s="268"/>
      <c r="BK19" s="268"/>
      <c r="BL19" s="268"/>
      <c r="BM19" s="268"/>
      <c r="BN19" s="268"/>
      <c r="BO19" s="268"/>
      <c r="BP19" s="268"/>
      <c r="BQ19" s="272"/>
      <c r="BR19" s="273"/>
      <c r="BS19" s="268"/>
      <c r="BT19" s="268"/>
      <c r="BU19" s="268"/>
      <c r="BV19" s="268"/>
      <c r="BW19" s="268"/>
      <c r="BX19" s="268"/>
      <c r="BY19" s="268"/>
      <c r="BZ19" s="268"/>
      <c r="CA19" s="272"/>
      <c r="CB19" s="273"/>
      <c r="CC19" s="268"/>
      <c r="CD19" s="268"/>
      <c r="CE19" s="268"/>
      <c r="CF19" s="268"/>
      <c r="CG19" s="268"/>
      <c r="CH19" s="268"/>
      <c r="CI19" s="268"/>
      <c r="CJ19" s="268"/>
      <c r="CK19" s="272"/>
      <c r="CL19" s="273"/>
      <c r="CM19" s="268"/>
      <c r="CN19" s="268"/>
      <c r="CO19" s="268"/>
      <c r="CP19" s="268"/>
      <c r="CQ19" s="268"/>
      <c r="CR19" s="268"/>
      <c r="CS19" s="268"/>
      <c r="CT19" s="268"/>
      <c r="CU19" s="272"/>
      <c r="CV19" s="273"/>
      <c r="CW19" s="268"/>
      <c r="CX19" s="268"/>
      <c r="CY19" s="268"/>
      <c r="CZ19" s="268"/>
      <c r="DA19" s="268"/>
      <c r="DB19" s="268"/>
      <c r="DC19" s="268"/>
      <c r="DD19" s="268"/>
      <c r="DE19" s="272"/>
      <c r="DF19" s="273"/>
      <c r="DG19" s="268"/>
      <c r="DH19" s="268"/>
      <c r="DI19" s="268"/>
      <c r="DJ19" s="268"/>
      <c r="DK19" s="268"/>
      <c r="DL19" s="268"/>
      <c r="DM19" s="268"/>
      <c r="DN19" s="268"/>
      <c r="DO19" s="272"/>
      <c r="DP19" s="273"/>
      <c r="DQ19" s="268"/>
      <c r="DR19" s="268"/>
      <c r="DS19" s="268"/>
      <c r="DT19" s="268"/>
      <c r="DU19" s="268"/>
      <c r="DV19" s="268"/>
      <c r="DW19" s="268"/>
      <c r="DX19" s="268"/>
      <c r="DY19" s="272"/>
      <c r="DZ19" s="273"/>
      <c r="EA19" s="268"/>
      <c r="EB19" s="268"/>
      <c r="EC19" s="268"/>
      <c r="ED19" s="268"/>
      <c r="EE19" s="268"/>
      <c r="EF19" s="268"/>
      <c r="EG19" s="268"/>
      <c r="EH19" s="268"/>
      <c r="EI19" s="272"/>
      <c r="EJ19" s="273"/>
      <c r="EK19" s="268"/>
      <c r="EL19" s="268"/>
      <c r="EM19" s="268"/>
      <c r="EN19" s="268"/>
      <c r="EO19" s="268"/>
      <c r="EP19" s="268"/>
      <c r="EQ19" s="268"/>
      <c r="ER19" s="268"/>
      <c r="ES19" s="272"/>
      <c r="ET19" s="273"/>
      <c r="EU19" s="268"/>
      <c r="EV19" s="268"/>
      <c r="EW19" s="268"/>
      <c r="EX19" s="268"/>
      <c r="EY19" s="268"/>
      <c r="EZ19" s="268"/>
      <c r="FA19" s="268"/>
      <c r="FB19" s="268"/>
      <c r="FC19" s="272"/>
      <c r="FD19" s="273"/>
      <c r="FE19" s="268"/>
      <c r="FF19" s="268"/>
      <c r="FG19" s="268"/>
      <c r="FH19" s="268"/>
      <c r="FI19" s="268"/>
      <c r="FJ19" s="268"/>
      <c r="FK19" s="268"/>
      <c r="FL19" s="268"/>
      <c r="FM19" s="272"/>
      <c r="FN19" s="273"/>
      <c r="FO19" s="268"/>
      <c r="FP19" s="268"/>
      <c r="FQ19" s="268"/>
      <c r="FR19" s="268"/>
      <c r="FS19" s="268"/>
      <c r="FT19" s="268"/>
      <c r="FU19" s="268"/>
      <c r="FV19" s="268"/>
      <c r="FW19" s="272"/>
    </row>
    <row r="20" spans="2:179" hidden="1">
      <c r="B20" s="481"/>
      <c r="C20" s="482"/>
      <c r="D20" s="482"/>
      <c r="E20" s="487"/>
      <c r="F20" s="258"/>
      <c r="G20" s="258"/>
      <c r="H20" s="259" t="s">
        <v>858</v>
      </c>
      <c r="I20" s="260">
        <f>ROUND(G19*1/3,1)</f>
        <v>0</v>
      </c>
      <c r="J20" s="274"/>
      <c r="K20" s="275"/>
      <c r="L20" s="276"/>
      <c r="M20" s="276"/>
      <c r="N20" s="276"/>
      <c r="O20" s="276"/>
      <c r="P20" s="276"/>
      <c r="Q20" s="276"/>
      <c r="R20" s="276"/>
      <c r="S20" s="276"/>
      <c r="T20" s="277"/>
      <c r="U20" s="276"/>
      <c r="V20" s="276"/>
      <c r="W20" s="276"/>
      <c r="X20" s="276"/>
      <c r="Y20" s="276"/>
      <c r="Z20" s="276"/>
      <c r="AA20" s="276"/>
      <c r="AB20" s="276"/>
      <c r="AC20" s="278"/>
      <c r="AD20" s="277"/>
      <c r="AE20" s="276"/>
      <c r="AF20" s="276"/>
      <c r="AG20" s="276"/>
      <c r="AH20" s="276"/>
      <c r="AI20" s="276"/>
      <c r="AJ20" s="276"/>
      <c r="AK20" s="276"/>
      <c r="AL20" s="276"/>
      <c r="AM20" s="278"/>
      <c r="AN20" s="277"/>
      <c r="AO20" s="276"/>
      <c r="AP20" s="276"/>
      <c r="AQ20" s="276"/>
      <c r="AR20" s="276"/>
      <c r="AS20" s="276"/>
      <c r="AT20" s="276"/>
      <c r="AU20" s="276"/>
      <c r="AV20" s="276"/>
      <c r="AW20" s="278"/>
      <c r="AX20" s="277"/>
      <c r="AY20" s="276"/>
      <c r="AZ20" s="276"/>
      <c r="BA20" s="276"/>
      <c r="BB20" s="276"/>
      <c r="BC20" s="276"/>
      <c r="BD20" s="276"/>
      <c r="BE20" s="276"/>
      <c r="BF20" s="276"/>
      <c r="BG20" s="278"/>
      <c r="BH20" s="277"/>
      <c r="BI20" s="276"/>
      <c r="BJ20" s="276"/>
      <c r="BK20" s="276"/>
      <c r="BL20" s="276"/>
      <c r="BM20" s="276"/>
      <c r="BN20" s="276"/>
      <c r="BO20" s="276"/>
      <c r="BP20" s="276"/>
      <c r="BQ20" s="278"/>
      <c r="BR20" s="277"/>
      <c r="BS20" s="276"/>
      <c r="BT20" s="276"/>
      <c r="BU20" s="276"/>
      <c r="BV20" s="276"/>
      <c r="BW20" s="276"/>
      <c r="BX20" s="276"/>
      <c r="BY20" s="276"/>
      <c r="BZ20" s="276"/>
      <c r="CA20" s="278"/>
      <c r="CB20" s="277"/>
      <c r="CC20" s="276"/>
      <c r="CD20" s="276"/>
      <c r="CE20" s="276"/>
      <c r="CF20" s="276"/>
      <c r="CG20" s="276"/>
      <c r="CH20" s="276"/>
      <c r="CI20" s="276"/>
      <c r="CJ20" s="276"/>
      <c r="CK20" s="278"/>
      <c r="CL20" s="277"/>
      <c r="CM20" s="276"/>
      <c r="CN20" s="276"/>
      <c r="CO20" s="276"/>
      <c r="CP20" s="276"/>
      <c r="CQ20" s="276"/>
      <c r="CR20" s="276"/>
      <c r="CS20" s="276"/>
      <c r="CT20" s="276"/>
      <c r="CU20" s="278"/>
      <c r="CV20" s="277"/>
      <c r="CW20" s="276"/>
      <c r="CX20" s="276"/>
      <c r="CY20" s="276"/>
      <c r="CZ20" s="276"/>
      <c r="DA20" s="276"/>
      <c r="DB20" s="276"/>
      <c r="DC20" s="276"/>
      <c r="DD20" s="276"/>
      <c r="DE20" s="278"/>
      <c r="DF20" s="277"/>
      <c r="DG20" s="276"/>
      <c r="DH20" s="276"/>
      <c r="DI20" s="276"/>
      <c r="DJ20" s="276"/>
      <c r="DK20" s="276"/>
      <c r="DL20" s="276"/>
      <c r="DM20" s="276"/>
      <c r="DN20" s="276"/>
      <c r="DO20" s="278"/>
      <c r="DP20" s="277"/>
      <c r="DQ20" s="276"/>
      <c r="DR20" s="276"/>
      <c r="DS20" s="276"/>
      <c r="DT20" s="276"/>
      <c r="DU20" s="276"/>
      <c r="DV20" s="276"/>
      <c r="DW20" s="276"/>
      <c r="DX20" s="276"/>
      <c r="DY20" s="278"/>
      <c r="DZ20" s="277"/>
      <c r="EA20" s="276"/>
      <c r="EB20" s="276"/>
      <c r="EC20" s="276"/>
      <c r="ED20" s="276"/>
      <c r="EE20" s="276"/>
      <c r="EF20" s="276"/>
      <c r="EG20" s="276"/>
      <c r="EH20" s="276"/>
      <c r="EI20" s="278"/>
      <c r="EJ20" s="277"/>
      <c r="EK20" s="276"/>
      <c r="EL20" s="276"/>
      <c r="EM20" s="276"/>
      <c r="EN20" s="276"/>
      <c r="EO20" s="276"/>
      <c r="EP20" s="276"/>
      <c r="EQ20" s="276"/>
      <c r="ER20" s="276"/>
      <c r="ES20" s="278"/>
      <c r="ET20" s="277"/>
      <c r="EU20" s="276"/>
      <c r="EV20" s="276"/>
      <c r="EW20" s="276"/>
      <c r="EX20" s="276"/>
      <c r="EY20" s="276"/>
      <c r="EZ20" s="276"/>
      <c r="FA20" s="276"/>
      <c r="FB20" s="276"/>
      <c r="FC20" s="278"/>
      <c r="FD20" s="277"/>
      <c r="FE20" s="276"/>
      <c r="FF20" s="276"/>
      <c r="FG20" s="276"/>
      <c r="FH20" s="276"/>
      <c r="FI20" s="276"/>
      <c r="FJ20" s="276"/>
      <c r="FK20" s="276"/>
      <c r="FL20" s="276"/>
      <c r="FM20" s="278"/>
      <c r="FN20" s="277"/>
      <c r="FO20" s="276"/>
      <c r="FP20" s="276"/>
      <c r="FQ20" s="276"/>
      <c r="FR20" s="276"/>
      <c r="FS20" s="276"/>
      <c r="FT20" s="276"/>
      <c r="FU20" s="276"/>
      <c r="FV20" s="276"/>
      <c r="FW20" s="278"/>
    </row>
    <row r="21" spans="2:179" ht="14.25" thickBot="1">
      <c r="B21" s="484" t="s">
        <v>99</v>
      </c>
      <c r="C21" s="484"/>
      <c r="D21" s="484"/>
      <c r="E21" s="473"/>
      <c r="F21" s="263">
        <f>'[1]基本 (2)'!F112</f>
        <v>8</v>
      </c>
      <c r="G21" s="263">
        <f>ROUND(F21*1.7,1)</f>
        <v>13.6</v>
      </c>
      <c r="H21" s="264" t="s">
        <v>847</v>
      </c>
      <c r="I21" s="265" t="s">
        <v>847</v>
      </c>
      <c r="J21" s="251">
        <v>4</v>
      </c>
      <c r="K21" s="261"/>
      <c r="L21" s="255"/>
      <c r="M21" s="255"/>
      <c r="N21" s="255"/>
      <c r="O21" s="255"/>
      <c r="P21" s="255"/>
      <c r="Q21" s="255"/>
      <c r="R21" s="255"/>
      <c r="S21" s="255"/>
      <c r="T21" s="262"/>
      <c r="U21" s="255"/>
      <c r="V21" s="255"/>
      <c r="W21" s="255"/>
      <c r="X21" s="255"/>
      <c r="Y21" s="255"/>
      <c r="Z21" s="255"/>
      <c r="AA21" s="255"/>
      <c r="AB21" s="255"/>
      <c r="AC21" s="257"/>
      <c r="AD21" s="262"/>
      <c r="AE21" s="255"/>
      <c r="AF21" s="255"/>
      <c r="AG21" s="255"/>
      <c r="AH21" s="255"/>
      <c r="AI21" s="255"/>
      <c r="AJ21" s="255"/>
      <c r="AK21" s="255"/>
      <c r="AL21" s="255"/>
      <c r="AM21" s="257"/>
      <c r="AN21" s="262"/>
      <c r="AO21" s="255"/>
      <c r="AP21" s="255"/>
      <c r="AQ21" s="269"/>
      <c r="AR21" s="269"/>
      <c r="AS21" s="269"/>
      <c r="AT21" s="269"/>
      <c r="AU21" s="269"/>
      <c r="AV21" s="269"/>
      <c r="AW21" s="271"/>
      <c r="AX21" s="270"/>
      <c r="AY21" s="269"/>
      <c r="AZ21" s="269"/>
      <c r="BA21" s="269"/>
      <c r="BB21" s="269"/>
      <c r="BC21" s="269"/>
      <c r="BD21" s="269"/>
      <c r="BE21" s="255"/>
      <c r="BF21" s="255"/>
      <c r="BG21" s="257"/>
      <c r="BH21" s="262"/>
      <c r="BI21" s="255"/>
      <c r="BJ21" s="255"/>
      <c r="BK21" s="255"/>
      <c r="BL21" s="255"/>
      <c r="BM21" s="255"/>
      <c r="BN21" s="255"/>
      <c r="BO21" s="255"/>
      <c r="BP21" s="255"/>
      <c r="BQ21" s="257"/>
      <c r="BR21" s="262"/>
      <c r="BS21" s="255"/>
      <c r="BT21" s="255"/>
      <c r="BU21" s="255"/>
      <c r="BV21" s="255"/>
      <c r="BW21" s="255"/>
      <c r="BX21" s="255"/>
      <c r="BY21" s="255"/>
      <c r="BZ21" s="255"/>
      <c r="CA21" s="257"/>
      <c r="CB21" s="262"/>
      <c r="CC21" s="255"/>
      <c r="CD21" s="255"/>
      <c r="CE21" s="255"/>
      <c r="CF21" s="255"/>
      <c r="CG21" s="255"/>
      <c r="CH21" s="255"/>
      <c r="CI21" s="255"/>
      <c r="CJ21" s="255"/>
      <c r="CK21" s="257"/>
      <c r="CL21" s="262"/>
      <c r="CM21" s="255"/>
      <c r="CN21" s="255"/>
      <c r="CO21" s="255"/>
      <c r="CP21" s="255"/>
      <c r="CQ21" s="255"/>
      <c r="CR21" s="255"/>
      <c r="CS21" s="255"/>
      <c r="CT21" s="255"/>
      <c r="CU21" s="257"/>
      <c r="CV21" s="262"/>
      <c r="CW21" s="255"/>
      <c r="CX21" s="255"/>
      <c r="CY21" s="255"/>
      <c r="CZ21" s="255"/>
      <c r="DA21" s="255"/>
      <c r="DB21" s="255"/>
      <c r="DC21" s="255"/>
      <c r="DD21" s="255"/>
      <c r="DE21" s="257"/>
      <c r="DF21" s="262"/>
      <c r="DG21" s="255"/>
      <c r="DH21" s="255"/>
      <c r="DI21" s="255"/>
      <c r="DJ21" s="255"/>
      <c r="DK21" s="255"/>
      <c r="DL21" s="255"/>
      <c r="DM21" s="255"/>
      <c r="DN21" s="255"/>
      <c r="DO21" s="257"/>
      <c r="DP21" s="262"/>
      <c r="DQ21" s="255"/>
      <c r="DR21" s="255"/>
      <c r="DS21" s="255"/>
      <c r="DT21" s="255"/>
      <c r="DU21" s="255"/>
      <c r="DV21" s="255"/>
      <c r="DW21" s="255"/>
      <c r="DX21" s="255"/>
      <c r="DY21" s="257"/>
      <c r="DZ21" s="262"/>
      <c r="EA21" s="255"/>
      <c r="EB21" s="255"/>
      <c r="EC21" s="255"/>
      <c r="ED21" s="255"/>
      <c r="EE21" s="255"/>
      <c r="EF21" s="255"/>
      <c r="EG21" s="255"/>
      <c r="EH21" s="255"/>
      <c r="EI21" s="257"/>
      <c r="EJ21" s="262"/>
      <c r="EK21" s="255"/>
      <c r="EL21" s="255"/>
      <c r="EM21" s="255"/>
      <c r="EN21" s="255"/>
      <c r="EO21" s="255"/>
      <c r="EP21" s="255"/>
      <c r="EQ21" s="255"/>
      <c r="ER21" s="255"/>
      <c r="ES21" s="257"/>
      <c r="ET21" s="262"/>
      <c r="EU21" s="255"/>
      <c r="EV21" s="255"/>
      <c r="EW21" s="255"/>
      <c r="EX21" s="255"/>
      <c r="EY21" s="255"/>
      <c r="EZ21" s="255"/>
      <c r="FA21" s="255"/>
      <c r="FB21" s="255"/>
      <c r="FC21" s="257"/>
      <c r="FD21" s="262"/>
      <c r="FE21" s="255"/>
      <c r="FF21" s="255"/>
      <c r="FG21" s="255"/>
      <c r="FH21" s="255"/>
      <c r="FI21" s="255"/>
      <c r="FJ21" s="255"/>
      <c r="FK21" s="255"/>
      <c r="FL21" s="255"/>
      <c r="FM21" s="257"/>
      <c r="FN21" s="262"/>
      <c r="FO21" s="255"/>
      <c r="FP21" s="255"/>
      <c r="FQ21" s="255"/>
      <c r="FR21" s="255"/>
      <c r="FS21" s="255"/>
      <c r="FT21" s="255"/>
      <c r="FU21" s="255"/>
      <c r="FV21" s="255"/>
      <c r="FW21" s="257"/>
    </row>
    <row r="22" spans="2:179">
      <c r="B22" s="481"/>
      <c r="C22" s="482"/>
      <c r="D22" s="482"/>
      <c r="E22" s="482"/>
      <c r="F22" s="258"/>
      <c r="G22" s="258"/>
      <c r="H22" s="259"/>
      <c r="I22" s="260"/>
      <c r="J22" s="251"/>
      <c r="K22" s="261"/>
      <c r="L22" s="255"/>
      <c r="M22" s="255"/>
      <c r="N22" s="255"/>
      <c r="O22" s="255"/>
      <c r="P22" s="255"/>
      <c r="Q22" s="255"/>
      <c r="R22" s="255"/>
      <c r="S22" s="255"/>
      <c r="T22" s="262"/>
      <c r="U22" s="255"/>
      <c r="V22" s="255"/>
      <c r="W22" s="255"/>
      <c r="X22" s="255"/>
      <c r="Y22" s="255"/>
      <c r="Z22" s="255"/>
      <c r="AA22" s="255"/>
      <c r="AB22" s="255"/>
      <c r="AC22" s="257"/>
      <c r="AD22" s="262"/>
      <c r="AE22" s="255"/>
      <c r="AF22" s="255"/>
      <c r="AG22" s="255"/>
      <c r="AH22" s="255"/>
      <c r="AI22" s="255"/>
      <c r="AJ22" s="255"/>
      <c r="AK22" s="255"/>
      <c r="AL22" s="255"/>
      <c r="AM22" s="257"/>
      <c r="AN22" s="262"/>
      <c r="AO22" s="255"/>
      <c r="AP22" s="255"/>
      <c r="AQ22" s="255"/>
      <c r="AR22" s="255"/>
      <c r="AS22" s="255"/>
      <c r="AT22" s="255"/>
      <c r="AU22" s="255"/>
      <c r="AV22" s="255"/>
      <c r="AW22" s="257"/>
      <c r="AX22" s="262"/>
      <c r="AY22" s="255"/>
      <c r="AZ22" s="255"/>
      <c r="BA22" s="255"/>
      <c r="BB22" s="255"/>
      <c r="BC22" s="255"/>
      <c r="BD22" s="255"/>
      <c r="BE22" s="255"/>
      <c r="BF22" s="255"/>
      <c r="BG22" s="257"/>
      <c r="BH22" s="262"/>
      <c r="BI22" s="255"/>
      <c r="BJ22" s="255"/>
      <c r="BK22" s="255"/>
      <c r="BL22" s="255"/>
      <c r="BM22" s="255"/>
      <c r="BN22" s="255"/>
      <c r="BO22" s="255"/>
      <c r="BP22" s="255"/>
      <c r="BQ22" s="257"/>
      <c r="BR22" s="262"/>
      <c r="BS22" s="255"/>
      <c r="BT22" s="255"/>
      <c r="BU22" s="255"/>
      <c r="BV22" s="255"/>
      <c r="BW22" s="255"/>
      <c r="BX22" s="255"/>
      <c r="BY22" s="255"/>
      <c r="BZ22" s="255"/>
      <c r="CA22" s="257"/>
      <c r="CB22" s="262"/>
      <c r="CC22" s="255"/>
      <c r="CD22" s="255"/>
      <c r="CE22" s="255"/>
      <c r="CF22" s="255"/>
      <c r="CG22" s="255"/>
      <c r="CH22" s="255"/>
      <c r="CI22" s="255"/>
      <c r="CJ22" s="255"/>
      <c r="CK22" s="257"/>
      <c r="CL22" s="262"/>
      <c r="CM22" s="255"/>
      <c r="CN22" s="255"/>
      <c r="CO22" s="255"/>
      <c r="CP22" s="255"/>
      <c r="CQ22" s="255"/>
      <c r="CR22" s="255"/>
      <c r="CS22" s="255"/>
      <c r="CT22" s="255"/>
      <c r="CU22" s="257"/>
      <c r="CV22" s="262"/>
      <c r="CW22" s="255"/>
      <c r="CX22" s="255"/>
      <c r="CY22" s="255"/>
      <c r="CZ22" s="255"/>
      <c r="DA22" s="255"/>
      <c r="DB22" s="255"/>
      <c r="DC22" s="255"/>
      <c r="DD22" s="255"/>
      <c r="DE22" s="257"/>
      <c r="DF22" s="262"/>
      <c r="DG22" s="255"/>
      <c r="DH22" s="255"/>
      <c r="DI22" s="255"/>
      <c r="DJ22" s="255"/>
      <c r="DK22" s="255"/>
      <c r="DL22" s="255"/>
      <c r="DM22" s="255"/>
      <c r="DN22" s="255"/>
      <c r="DO22" s="257"/>
      <c r="DP22" s="262"/>
      <c r="DQ22" s="255"/>
      <c r="DR22" s="255"/>
      <c r="DS22" s="255"/>
      <c r="DT22" s="255"/>
      <c r="DU22" s="255"/>
      <c r="DV22" s="255"/>
      <c r="DW22" s="255"/>
      <c r="DX22" s="255"/>
      <c r="DY22" s="257"/>
      <c r="DZ22" s="262"/>
      <c r="EA22" s="255"/>
      <c r="EB22" s="255"/>
      <c r="EC22" s="255"/>
      <c r="ED22" s="255"/>
      <c r="EE22" s="255"/>
      <c r="EF22" s="255"/>
      <c r="EG22" s="255"/>
      <c r="EH22" s="255"/>
      <c r="EI22" s="257"/>
      <c r="EJ22" s="262"/>
      <c r="EK22" s="255"/>
      <c r="EL22" s="255"/>
      <c r="EM22" s="255"/>
      <c r="EN22" s="255"/>
      <c r="EO22" s="255"/>
      <c r="EP22" s="255"/>
      <c r="EQ22" s="255"/>
      <c r="ER22" s="255"/>
      <c r="ES22" s="257"/>
      <c r="ET22" s="262"/>
      <c r="EU22" s="255"/>
      <c r="EV22" s="255"/>
      <c r="EW22" s="255"/>
      <c r="EX22" s="255"/>
      <c r="EY22" s="255"/>
      <c r="EZ22" s="255"/>
      <c r="FA22" s="255"/>
      <c r="FB22" s="255"/>
      <c r="FC22" s="257"/>
      <c r="FD22" s="262"/>
      <c r="FE22" s="255"/>
      <c r="FF22" s="255"/>
      <c r="FG22" s="255"/>
      <c r="FH22" s="255"/>
      <c r="FI22" s="255"/>
      <c r="FJ22" s="255"/>
      <c r="FK22" s="255"/>
      <c r="FL22" s="255"/>
      <c r="FM22" s="257"/>
      <c r="FN22" s="262"/>
      <c r="FO22" s="255"/>
      <c r="FP22" s="255"/>
      <c r="FQ22" s="255"/>
      <c r="FR22" s="255"/>
      <c r="FS22" s="255"/>
      <c r="FT22" s="255"/>
      <c r="FU22" s="255"/>
      <c r="FV22" s="255"/>
      <c r="FW22" s="257"/>
    </row>
    <row r="23" spans="2:179" ht="14.25" thickBot="1">
      <c r="B23" s="484" t="s">
        <v>101</v>
      </c>
      <c r="C23" s="484"/>
      <c r="D23" s="484"/>
      <c r="E23" s="473"/>
      <c r="F23" s="263">
        <f>'[1]基本 (2)'!F113</f>
        <v>8.1</v>
      </c>
      <c r="G23" s="263">
        <f>ROUND(F23*1.7,1)</f>
        <v>13.8</v>
      </c>
      <c r="H23" s="264" t="s">
        <v>861</v>
      </c>
      <c r="I23" s="265" t="s">
        <v>847</v>
      </c>
      <c r="J23" s="266">
        <v>8</v>
      </c>
      <c r="K23" s="267"/>
      <c r="L23" s="268"/>
      <c r="M23" s="268"/>
      <c r="N23" s="268"/>
      <c r="O23" s="268"/>
      <c r="P23" s="268"/>
      <c r="Q23" s="268"/>
      <c r="R23" s="268"/>
      <c r="S23" s="268"/>
      <c r="T23" s="273"/>
      <c r="U23" s="268"/>
      <c r="V23" s="268"/>
      <c r="W23" s="268"/>
      <c r="X23" s="268"/>
      <c r="Y23" s="268"/>
      <c r="Z23" s="268"/>
      <c r="AA23" s="268"/>
      <c r="AB23" s="268"/>
      <c r="AC23" s="272"/>
      <c r="AD23" s="273"/>
      <c r="AE23" s="268"/>
      <c r="AF23" s="268"/>
      <c r="AG23" s="268"/>
      <c r="AH23" s="268"/>
      <c r="AI23" s="268"/>
      <c r="AJ23" s="268"/>
      <c r="AK23" s="268"/>
      <c r="AL23" s="268"/>
      <c r="AM23" s="272"/>
      <c r="AN23" s="273"/>
      <c r="AO23" s="268"/>
      <c r="AP23" s="268"/>
      <c r="AQ23" s="268"/>
      <c r="AR23" s="268"/>
      <c r="AS23" s="268"/>
      <c r="AT23" s="268"/>
      <c r="AU23" s="268"/>
      <c r="AV23" s="268"/>
      <c r="AW23" s="272"/>
      <c r="AX23" s="273"/>
      <c r="AY23" s="268"/>
      <c r="AZ23" s="268"/>
      <c r="BA23" s="268"/>
      <c r="BB23" s="268"/>
      <c r="BC23" s="268"/>
      <c r="BD23" s="268"/>
      <c r="BE23" s="268"/>
      <c r="BF23" s="268"/>
      <c r="BG23" s="272"/>
      <c r="BH23" s="273"/>
      <c r="BI23" s="268"/>
      <c r="BJ23" s="268"/>
      <c r="BK23" s="268"/>
      <c r="BL23" s="268"/>
      <c r="BM23" s="268"/>
      <c r="BN23" s="268"/>
      <c r="BO23" s="268"/>
      <c r="BP23" s="268"/>
      <c r="BQ23" s="272"/>
      <c r="BR23" s="273"/>
      <c r="BS23" s="268"/>
      <c r="BT23" s="268"/>
      <c r="BU23" s="268"/>
      <c r="BV23" s="268"/>
      <c r="BW23" s="268"/>
      <c r="BX23" s="268"/>
      <c r="BY23" s="268"/>
      <c r="BZ23" s="268"/>
      <c r="CA23" s="272"/>
      <c r="CB23" s="273"/>
      <c r="CC23" s="268"/>
      <c r="CD23" s="268"/>
      <c r="CE23" s="268"/>
      <c r="CF23" s="268"/>
      <c r="CG23" s="268"/>
      <c r="CH23" s="268"/>
      <c r="CI23" s="268"/>
      <c r="CJ23" s="268"/>
      <c r="CK23" s="272"/>
      <c r="CL23" s="273"/>
      <c r="CM23" s="268"/>
      <c r="CN23" s="268"/>
      <c r="CO23" s="268"/>
      <c r="CP23" s="268"/>
      <c r="CQ23" s="268"/>
      <c r="CR23" s="268"/>
      <c r="CS23" s="268"/>
      <c r="CT23" s="268"/>
      <c r="CU23" s="272"/>
      <c r="CV23" s="273"/>
      <c r="CW23" s="268"/>
      <c r="CX23" s="268"/>
      <c r="CY23" s="268"/>
      <c r="CZ23" s="268"/>
      <c r="DA23" s="268"/>
      <c r="DB23" s="268"/>
      <c r="DC23" s="268"/>
      <c r="DD23" s="268"/>
      <c r="DE23" s="272"/>
      <c r="DF23" s="273"/>
      <c r="DG23" s="268"/>
      <c r="DH23" s="268"/>
      <c r="DI23" s="268"/>
      <c r="DJ23" s="268"/>
      <c r="DK23" s="268"/>
      <c r="DL23" s="269"/>
      <c r="DM23" s="269"/>
      <c r="DN23" s="269"/>
      <c r="DO23" s="271"/>
      <c r="DP23" s="270"/>
      <c r="DQ23" s="269"/>
      <c r="DR23" s="269"/>
      <c r="DS23" s="269"/>
      <c r="DT23" s="269"/>
      <c r="DU23" s="269"/>
      <c r="DV23" s="269"/>
      <c r="DW23" s="269"/>
      <c r="DX23" s="269"/>
      <c r="DY23" s="272"/>
      <c r="DZ23" s="273"/>
      <c r="EA23" s="268"/>
      <c r="EB23" s="268"/>
      <c r="EC23" s="268"/>
      <c r="ED23" s="268"/>
      <c r="EE23" s="268"/>
      <c r="EF23" s="268"/>
      <c r="EG23" s="268"/>
      <c r="EH23" s="268"/>
      <c r="EI23" s="272"/>
      <c r="EJ23" s="273"/>
      <c r="EK23" s="268"/>
      <c r="EL23" s="268"/>
      <c r="EM23" s="268"/>
      <c r="EN23" s="268"/>
      <c r="EO23" s="268"/>
      <c r="EP23" s="268"/>
      <c r="EQ23" s="268"/>
      <c r="ER23" s="268"/>
      <c r="ES23" s="272"/>
      <c r="ET23" s="273"/>
      <c r="EU23" s="268"/>
      <c r="EV23" s="268"/>
      <c r="EW23" s="268"/>
      <c r="EX23" s="268"/>
      <c r="EY23" s="268"/>
      <c r="EZ23" s="268"/>
      <c r="FA23" s="268"/>
      <c r="FB23" s="268"/>
      <c r="FC23" s="272"/>
      <c r="FD23" s="273"/>
      <c r="FE23" s="268"/>
      <c r="FF23" s="268"/>
      <c r="FG23" s="268"/>
      <c r="FH23" s="268"/>
      <c r="FI23" s="268"/>
      <c r="FJ23" s="268"/>
      <c r="FK23" s="268"/>
      <c r="FL23" s="268"/>
      <c r="FM23" s="272"/>
      <c r="FN23" s="273"/>
      <c r="FO23" s="268"/>
      <c r="FP23" s="268"/>
      <c r="FQ23" s="268"/>
      <c r="FR23" s="268"/>
      <c r="FS23" s="268"/>
      <c r="FT23" s="268"/>
      <c r="FU23" s="268"/>
      <c r="FV23" s="268"/>
      <c r="FW23" s="272"/>
    </row>
    <row r="24" spans="2:179">
      <c r="B24" s="481"/>
      <c r="C24" s="482"/>
      <c r="D24" s="482"/>
      <c r="E24" s="482"/>
      <c r="F24" s="258"/>
      <c r="G24" s="258"/>
      <c r="H24" s="259"/>
      <c r="I24" s="260"/>
      <c r="J24" s="274"/>
      <c r="K24" s="275"/>
      <c r="L24" s="276"/>
      <c r="M24" s="276"/>
      <c r="N24" s="276"/>
      <c r="O24" s="276"/>
      <c r="P24" s="276"/>
      <c r="Q24" s="276"/>
      <c r="R24" s="276"/>
      <c r="S24" s="276"/>
      <c r="T24" s="277"/>
      <c r="U24" s="276"/>
      <c r="V24" s="276"/>
      <c r="W24" s="276"/>
      <c r="X24" s="276"/>
      <c r="Y24" s="276"/>
      <c r="Z24" s="276"/>
      <c r="AA24" s="276"/>
      <c r="AB24" s="276"/>
      <c r="AC24" s="278"/>
      <c r="AD24" s="277"/>
      <c r="AE24" s="276"/>
      <c r="AF24" s="276"/>
      <c r="AG24" s="276"/>
      <c r="AH24" s="276"/>
      <c r="AI24" s="276"/>
      <c r="AJ24" s="276"/>
      <c r="AK24" s="276"/>
      <c r="AL24" s="276"/>
      <c r="AM24" s="278"/>
      <c r="AN24" s="277"/>
      <c r="AO24" s="276"/>
      <c r="AP24" s="276"/>
      <c r="AQ24" s="276"/>
      <c r="AR24" s="276"/>
      <c r="AS24" s="276"/>
      <c r="AT24" s="276"/>
      <c r="AU24" s="276"/>
      <c r="AV24" s="276"/>
      <c r="AW24" s="278"/>
      <c r="AX24" s="277"/>
      <c r="AY24" s="276"/>
      <c r="AZ24" s="276"/>
      <c r="BA24" s="276"/>
      <c r="BB24" s="276"/>
      <c r="BC24" s="276"/>
      <c r="BD24" s="276"/>
      <c r="BE24" s="276"/>
      <c r="BF24" s="276"/>
      <c r="BG24" s="278"/>
      <c r="BH24" s="277"/>
      <c r="BI24" s="276"/>
      <c r="BJ24" s="276"/>
      <c r="BK24" s="276"/>
      <c r="BL24" s="276"/>
      <c r="BM24" s="276"/>
      <c r="BN24" s="276"/>
      <c r="BO24" s="276"/>
      <c r="BP24" s="276"/>
      <c r="BQ24" s="278"/>
      <c r="BR24" s="277"/>
      <c r="BS24" s="276"/>
      <c r="BT24" s="276"/>
      <c r="BU24" s="276"/>
      <c r="BV24" s="276"/>
      <c r="BW24" s="276"/>
      <c r="BX24" s="276"/>
      <c r="BY24" s="276"/>
      <c r="BZ24" s="276"/>
      <c r="CA24" s="278"/>
      <c r="CB24" s="277"/>
      <c r="CC24" s="276"/>
      <c r="CD24" s="276"/>
      <c r="CE24" s="276"/>
      <c r="CF24" s="276"/>
      <c r="CG24" s="276"/>
      <c r="CH24" s="276"/>
      <c r="CI24" s="276"/>
      <c r="CJ24" s="276"/>
      <c r="CK24" s="278"/>
      <c r="CL24" s="277"/>
      <c r="CM24" s="276"/>
      <c r="CN24" s="276"/>
      <c r="CO24" s="276"/>
      <c r="CP24" s="276"/>
      <c r="CQ24" s="276"/>
      <c r="CR24" s="276"/>
      <c r="CS24" s="276"/>
      <c r="CT24" s="276"/>
      <c r="CU24" s="278"/>
      <c r="CV24" s="277"/>
      <c r="CW24" s="276"/>
      <c r="CX24" s="276"/>
      <c r="CY24" s="276"/>
      <c r="CZ24" s="276"/>
      <c r="DA24" s="276"/>
      <c r="DB24" s="276"/>
      <c r="DC24" s="276"/>
      <c r="DD24" s="276"/>
      <c r="DE24" s="278"/>
      <c r="DF24" s="277"/>
      <c r="DG24" s="276"/>
      <c r="DH24" s="276"/>
      <c r="DI24" s="276"/>
      <c r="DJ24" s="276"/>
      <c r="DK24" s="276"/>
      <c r="DL24" s="276"/>
      <c r="DM24" s="276"/>
      <c r="DN24" s="276"/>
      <c r="DO24" s="278"/>
      <c r="DP24" s="277"/>
      <c r="DQ24" s="276"/>
      <c r="DR24" s="276"/>
      <c r="DS24" s="276"/>
      <c r="DT24" s="276"/>
      <c r="DU24" s="276"/>
      <c r="DV24" s="276"/>
      <c r="DW24" s="276"/>
      <c r="DX24" s="276"/>
      <c r="DY24" s="278"/>
      <c r="DZ24" s="277"/>
      <c r="EA24" s="276"/>
      <c r="EB24" s="276"/>
      <c r="EC24" s="276"/>
      <c r="ED24" s="276"/>
      <c r="EE24" s="276"/>
      <c r="EF24" s="276"/>
      <c r="EG24" s="276"/>
      <c r="EH24" s="276"/>
      <c r="EI24" s="278"/>
      <c r="EJ24" s="277"/>
      <c r="EK24" s="276"/>
      <c r="EL24" s="276"/>
      <c r="EM24" s="276"/>
      <c r="EN24" s="276"/>
      <c r="EO24" s="276"/>
      <c r="EP24" s="276"/>
      <c r="EQ24" s="276"/>
      <c r="ER24" s="276"/>
      <c r="ES24" s="278"/>
      <c r="ET24" s="277"/>
      <c r="EU24" s="276"/>
      <c r="EV24" s="276"/>
      <c r="EW24" s="276"/>
      <c r="EX24" s="276"/>
      <c r="EY24" s="276"/>
      <c r="EZ24" s="276"/>
      <c r="FA24" s="276"/>
      <c r="FB24" s="276"/>
      <c r="FC24" s="278"/>
      <c r="FD24" s="277"/>
      <c r="FE24" s="276"/>
      <c r="FF24" s="276"/>
      <c r="FG24" s="276"/>
      <c r="FH24" s="276"/>
      <c r="FI24" s="276"/>
      <c r="FJ24" s="276"/>
      <c r="FK24" s="276"/>
      <c r="FL24" s="276"/>
      <c r="FM24" s="278"/>
      <c r="FN24" s="277"/>
      <c r="FO24" s="276"/>
      <c r="FP24" s="276"/>
      <c r="FQ24" s="276"/>
      <c r="FR24" s="276"/>
      <c r="FS24" s="276"/>
      <c r="FT24" s="276"/>
      <c r="FU24" s="276"/>
      <c r="FV24" s="276"/>
      <c r="FW24" s="278"/>
    </row>
    <row r="25" spans="2:179" ht="14.25" thickBot="1">
      <c r="B25" s="484" t="s">
        <v>103</v>
      </c>
      <c r="C25" s="484"/>
      <c r="D25" s="484"/>
      <c r="E25" s="473"/>
      <c r="F25" s="263">
        <f>'[1]基本 (2)'!F114</f>
        <v>2.5</v>
      </c>
      <c r="G25" s="263">
        <f>ROUND(F25*1.7,1)</f>
        <v>4.3</v>
      </c>
      <c r="H25" s="264" t="s">
        <v>861</v>
      </c>
      <c r="I25" s="265" t="s">
        <v>847</v>
      </c>
      <c r="J25" s="251">
        <v>11</v>
      </c>
      <c r="K25" s="261"/>
      <c r="L25" s="255"/>
      <c r="M25" s="255"/>
      <c r="N25" s="255"/>
      <c r="O25" s="255"/>
      <c r="P25" s="255"/>
      <c r="Q25" s="255"/>
      <c r="R25" s="255"/>
      <c r="S25" s="255"/>
      <c r="T25" s="262"/>
      <c r="U25" s="255"/>
      <c r="V25" s="255"/>
      <c r="W25" s="255"/>
      <c r="X25" s="255"/>
      <c r="Y25" s="255"/>
      <c r="Z25" s="255"/>
      <c r="AA25" s="255"/>
      <c r="AB25" s="255"/>
      <c r="AC25" s="257"/>
      <c r="AD25" s="262"/>
      <c r="AE25" s="255"/>
      <c r="AF25" s="255"/>
      <c r="AG25" s="255"/>
      <c r="AH25" s="255"/>
      <c r="AI25" s="255"/>
      <c r="AJ25" s="255"/>
      <c r="AK25" s="255"/>
      <c r="AL25" s="255"/>
      <c r="AM25" s="257"/>
      <c r="AN25" s="262"/>
      <c r="AO25" s="255"/>
      <c r="AP25" s="255"/>
      <c r="AQ25" s="255"/>
      <c r="AR25" s="255"/>
      <c r="AS25" s="255"/>
      <c r="AT25" s="255"/>
      <c r="AU25" s="255"/>
      <c r="AV25" s="255"/>
      <c r="AW25" s="257"/>
      <c r="AX25" s="262"/>
      <c r="AY25" s="255"/>
      <c r="AZ25" s="255"/>
      <c r="BA25" s="255"/>
      <c r="BB25" s="255"/>
      <c r="BC25" s="255"/>
      <c r="BD25" s="255"/>
      <c r="BE25" s="255"/>
      <c r="BF25" s="255"/>
      <c r="BG25" s="257"/>
      <c r="BH25" s="262"/>
      <c r="BI25" s="255"/>
      <c r="BJ25" s="255"/>
      <c r="BK25" s="255"/>
      <c r="BL25" s="255"/>
      <c r="BM25" s="255"/>
      <c r="BN25" s="255"/>
      <c r="BO25" s="255"/>
      <c r="BP25" s="255"/>
      <c r="BQ25" s="257"/>
      <c r="BR25" s="262"/>
      <c r="BS25" s="255"/>
      <c r="BT25" s="255"/>
      <c r="BU25" s="255"/>
      <c r="BV25" s="255"/>
      <c r="BW25" s="255"/>
      <c r="BX25" s="255"/>
      <c r="BY25" s="255"/>
      <c r="BZ25" s="255"/>
      <c r="CA25" s="257"/>
      <c r="CB25" s="262"/>
      <c r="CC25" s="255"/>
      <c r="CD25" s="255"/>
      <c r="CE25" s="255"/>
      <c r="CF25" s="255"/>
      <c r="CG25" s="255"/>
      <c r="CH25" s="255"/>
      <c r="CI25" s="255"/>
      <c r="CJ25" s="255"/>
      <c r="CK25" s="257"/>
      <c r="CL25" s="262"/>
      <c r="CM25" s="255"/>
      <c r="CN25" s="255"/>
      <c r="CO25" s="255"/>
      <c r="CP25" s="255"/>
      <c r="CQ25" s="255"/>
      <c r="CR25" s="255"/>
      <c r="CS25" s="255"/>
      <c r="CT25" s="255"/>
      <c r="CU25" s="257"/>
      <c r="CV25" s="262"/>
      <c r="CW25" s="255"/>
      <c r="CX25" s="255"/>
      <c r="CY25" s="255"/>
      <c r="CZ25" s="255"/>
      <c r="DA25" s="255"/>
      <c r="DB25" s="255"/>
      <c r="DC25" s="255"/>
      <c r="DD25" s="255"/>
      <c r="DE25" s="257"/>
      <c r="DF25" s="262"/>
      <c r="DG25" s="255"/>
      <c r="DH25" s="255"/>
      <c r="DI25" s="255"/>
      <c r="DJ25" s="255"/>
      <c r="DK25" s="255"/>
      <c r="DL25" s="255"/>
      <c r="DM25" s="255"/>
      <c r="DN25" s="255"/>
      <c r="DO25" s="257"/>
      <c r="DP25" s="262"/>
      <c r="DQ25" s="255"/>
      <c r="DR25" s="255"/>
      <c r="DS25" s="255"/>
      <c r="DT25" s="255"/>
      <c r="DU25" s="255"/>
      <c r="DV25" s="255"/>
      <c r="DW25" s="255"/>
      <c r="DX25" s="255"/>
      <c r="DY25" s="257"/>
      <c r="DZ25" s="262"/>
      <c r="EA25" s="255"/>
      <c r="EB25" s="255"/>
      <c r="EC25" s="255"/>
      <c r="ED25" s="255"/>
      <c r="EE25" s="255"/>
      <c r="EF25" s="255"/>
      <c r="EG25" s="255"/>
      <c r="EH25" s="255"/>
      <c r="EI25" s="257"/>
      <c r="EJ25" s="262"/>
      <c r="EK25" s="255"/>
      <c r="EL25" s="255"/>
      <c r="EM25" s="269"/>
      <c r="EN25" s="269"/>
      <c r="EO25" s="269"/>
      <c r="EP25" s="269"/>
      <c r="EQ25" s="255"/>
      <c r="ER25" s="255"/>
      <c r="ES25" s="257"/>
      <c r="ET25" s="262"/>
      <c r="EU25" s="255"/>
      <c r="EV25" s="255"/>
      <c r="EW25" s="255"/>
      <c r="EX25" s="255"/>
      <c r="EY25" s="255"/>
      <c r="EZ25" s="255"/>
      <c r="FA25" s="255"/>
      <c r="FB25" s="255"/>
      <c r="FC25" s="257"/>
      <c r="FD25" s="262"/>
      <c r="FE25" s="255"/>
      <c r="FF25" s="255"/>
      <c r="FG25" s="255"/>
      <c r="FH25" s="255"/>
      <c r="FI25" s="255"/>
      <c r="FJ25" s="255"/>
      <c r="FK25" s="255"/>
      <c r="FL25" s="255"/>
      <c r="FM25" s="257"/>
      <c r="FN25" s="262"/>
      <c r="FO25" s="255"/>
      <c r="FP25" s="255"/>
      <c r="FQ25" s="255"/>
      <c r="FR25" s="255"/>
      <c r="FS25" s="255"/>
      <c r="FT25" s="255"/>
      <c r="FU25" s="255"/>
      <c r="FV25" s="255"/>
      <c r="FW25" s="257"/>
    </row>
    <row r="26" spans="2:179">
      <c r="B26" s="481"/>
      <c r="C26" s="482"/>
      <c r="D26" s="482"/>
      <c r="E26" s="482"/>
      <c r="F26" s="258"/>
      <c r="G26" s="258"/>
      <c r="H26" s="259"/>
      <c r="I26" s="260"/>
      <c r="J26" s="251"/>
      <c r="K26" s="261"/>
      <c r="L26" s="255"/>
      <c r="M26" s="255"/>
      <c r="N26" s="255"/>
      <c r="O26" s="255"/>
      <c r="P26" s="255"/>
      <c r="Q26" s="255"/>
      <c r="R26" s="255"/>
      <c r="S26" s="255"/>
      <c r="T26" s="262"/>
      <c r="U26" s="255"/>
      <c r="V26" s="255"/>
      <c r="W26" s="255"/>
      <c r="X26" s="255"/>
      <c r="Y26" s="255"/>
      <c r="Z26" s="255"/>
      <c r="AA26" s="255"/>
      <c r="AB26" s="255"/>
      <c r="AC26" s="257"/>
      <c r="AD26" s="262"/>
      <c r="AE26" s="255"/>
      <c r="AF26" s="255"/>
      <c r="AG26" s="255"/>
      <c r="AH26" s="255"/>
      <c r="AI26" s="255"/>
      <c r="AJ26" s="255"/>
      <c r="AK26" s="255"/>
      <c r="AL26" s="255"/>
      <c r="AM26" s="257"/>
      <c r="AN26" s="262"/>
      <c r="AO26" s="255"/>
      <c r="AP26" s="255"/>
      <c r="AQ26" s="255"/>
      <c r="AR26" s="255"/>
      <c r="AS26" s="255"/>
      <c r="AT26" s="255"/>
      <c r="AU26" s="255"/>
      <c r="AV26" s="255"/>
      <c r="AW26" s="257"/>
      <c r="AX26" s="262"/>
      <c r="AY26" s="255"/>
      <c r="AZ26" s="255"/>
      <c r="BA26" s="255"/>
      <c r="BB26" s="255"/>
      <c r="BC26" s="255"/>
      <c r="BD26" s="255"/>
      <c r="BE26" s="255"/>
      <c r="BF26" s="255"/>
      <c r="BG26" s="257"/>
      <c r="BH26" s="262"/>
      <c r="BI26" s="255"/>
      <c r="BJ26" s="255"/>
      <c r="BK26" s="255"/>
      <c r="BL26" s="255"/>
      <c r="BM26" s="255"/>
      <c r="BN26" s="255"/>
      <c r="BO26" s="255"/>
      <c r="BP26" s="255"/>
      <c r="BQ26" s="257"/>
      <c r="BR26" s="262"/>
      <c r="BS26" s="255"/>
      <c r="BT26" s="255"/>
      <c r="BU26" s="255"/>
      <c r="BV26" s="255"/>
      <c r="BW26" s="255"/>
      <c r="BX26" s="255"/>
      <c r="BY26" s="255"/>
      <c r="BZ26" s="255"/>
      <c r="CA26" s="257"/>
      <c r="CB26" s="262"/>
      <c r="CC26" s="255"/>
      <c r="CD26" s="255"/>
      <c r="CE26" s="255"/>
      <c r="CF26" s="255"/>
      <c r="CG26" s="255"/>
      <c r="CH26" s="255"/>
      <c r="CI26" s="255"/>
      <c r="CJ26" s="255"/>
      <c r="CK26" s="257"/>
      <c r="CL26" s="262"/>
      <c r="CM26" s="255"/>
      <c r="CN26" s="255"/>
      <c r="CO26" s="255"/>
      <c r="CP26" s="255"/>
      <c r="CQ26" s="255"/>
      <c r="CR26" s="255"/>
      <c r="CS26" s="255"/>
      <c r="CT26" s="255"/>
      <c r="CU26" s="257"/>
      <c r="CV26" s="262"/>
      <c r="CW26" s="255"/>
      <c r="CX26" s="255"/>
      <c r="CY26" s="255"/>
      <c r="CZ26" s="255"/>
      <c r="DA26" s="255"/>
      <c r="DB26" s="255"/>
      <c r="DC26" s="255"/>
      <c r="DD26" s="255"/>
      <c r="DE26" s="257"/>
      <c r="DF26" s="262"/>
      <c r="DG26" s="255"/>
      <c r="DH26" s="255"/>
      <c r="DI26" s="255"/>
      <c r="DJ26" s="255"/>
      <c r="DK26" s="255"/>
      <c r="DL26" s="255"/>
      <c r="DM26" s="255"/>
      <c r="DN26" s="255"/>
      <c r="DO26" s="257"/>
      <c r="DP26" s="262"/>
      <c r="DQ26" s="255"/>
      <c r="DR26" s="255"/>
      <c r="DS26" s="255"/>
      <c r="DT26" s="255"/>
      <c r="DU26" s="255"/>
      <c r="DV26" s="255"/>
      <c r="DW26" s="255"/>
      <c r="DX26" s="255"/>
      <c r="DY26" s="257"/>
      <c r="DZ26" s="262"/>
      <c r="EA26" s="255"/>
      <c r="EB26" s="255"/>
      <c r="EC26" s="255"/>
      <c r="ED26" s="255"/>
      <c r="EE26" s="255"/>
      <c r="EF26" s="255"/>
      <c r="EG26" s="255"/>
      <c r="EH26" s="255"/>
      <c r="EI26" s="257"/>
      <c r="EJ26" s="262"/>
      <c r="EK26" s="255"/>
      <c r="EL26" s="255"/>
      <c r="EM26" s="255"/>
      <c r="EN26" s="255"/>
      <c r="EO26" s="255"/>
      <c r="EP26" s="255"/>
      <c r="EQ26" s="255"/>
      <c r="ER26" s="255"/>
      <c r="ES26" s="257"/>
      <c r="ET26" s="262"/>
      <c r="EU26" s="255"/>
      <c r="EV26" s="255"/>
      <c r="EW26" s="255"/>
      <c r="EX26" s="255"/>
      <c r="EY26" s="255"/>
      <c r="EZ26" s="255"/>
      <c r="FA26" s="255"/>
      <c r="FB26" s="255"/>
      <c r="FC26" s="257"/>
      <c r="FD26" s="262"/>
      <c r="FE26" s="255"/>
      <c r="FF26" s="255"/>
      <c r="FG26" s="255"/>
      <c r="FH26" s="255"/>
      <c r="FI26" s="255"/>
      <c r="FJ26" s="255"/>
      <c r="FK26" s="255"/>
      <c r="FL26" s="255"/>
      <c r="FM26" s="257"/>
      <c r="FN26" s="262"/>
      <c r="FO26" s="255"/>
      <c r="FP26" s="255"/>
      <c r="FQ26" s="255"/>
      <c r="FR26" s="255"/>
      <c r="FS26" s="255"/>
      <c r="FT26" s="255"/>
      <c r="FU26" s="255"/>
      <c r="FV26" s="255"/>
      <c r="FW26" s="257"/>
    </row>
    <row r="27" spans="2:179" ht="14.25" thickBot="1">
      <c r="B27" s="485" t="s">
        <v>862</v>
      </c>
      <c r="C27" s="486"/>
      <c r="D27" s="473" t="s">
        <v>106</v>
      </c>
      <c r="E27" s="474"/>
      <c r="F27" s="263">
        <f>'[1]基本 (2)'!F115</f>
        <v>25.4</v>
      </c>
      <c r="G27" s="263">
        <f>ROUND(F27*1.7,1)</f>
        <v>43.2</v>
      </c>
      <c r="H27" s="264" t="s">
        <v>857</v>
      </c>
      <c r="I27" s="265">
        <f>ROUND(G27*2/3,1)</f>
        <v>28.8</v>
      </c>
      <c r="J27" s="266">
        <v>7</v>
      </c>
      <c r="K27" s="267"/>
      <c r="L27" s="268"/>
      <c r="M27" s="268"/>
      <c r="N27" s="268"/>
      <c r="O27" s="268"/>
      <c r="P27" s="268"/>
      <c r="Q27" s="268"/>
      <c r="R27" s="268"/>
      <c r="S27" s="268"/>
      <c r="T27" s="273"/>
      <c r="U27" s="268"/>
      <c r="V27" s="268"/>
      <c r="W27" s="268"/>
      <c r="X27" s="268"/>
      <c r="Y27" s="268"/>
      <c r="Z27" s="268"/>
      <c r="AA27" s="268"/>
      <c r="AB27" s="268"/>
      <c r="AC27" s="272"/>
      <c r="AD27" s="273"/>
      <c r="AE27" s="268"/>
      <c r="AF27" s="268"/>
      <c r="AG27" s="268"/>
      <c r="AH27" s="268"/>
      <c r="AI27" s="268"/>
      <c r="AJ27" s="268"/>
      <c r="AK27" s="268"/>
      <c r="AL27" s="268"/>
      <c r="AM27" s="272"/>
      <c r="AN27" s="273"/>
      <c r="AO27" s="268"/>
      <c r="AP27" s="268"/>
      <c r="AQ27" s="268"/>
      <c r="AR27" s="268"/>
      <c r="AS27" s="268"/>
      <c r="AT27" s="268"/>
      <c r="AU27" s="268"/>
      <c r="AV27" s="268"/>
      <c r="AW27" s="272"/>
      <c r="AX27" s="273"/>
      <c r="AY27" s="268"/>
      <c r="AZ27" s="268"/>
      <c r="BA27" s="268"/>
      <c r="BB27" s="268"/>
      <c r="BC27" s="268"/>
      <c r="BD27" s="268"/>
      <c r="BE27" s="268"/>
      <c r="BF27" s="268"/>
      <c r="BG27" s="272"/>
      <c r="BH27" s="273"/>
      <c r="BI27" s="268"/>
      <c r="BJ27" s="268"/>
      <c r="BK27" s="268"/>
      <c r="BL27" s="268"/>
      <c r="BM27" s="268"/>
      <c r="BN27" s="268"/>
      <c r="BO27" s="268"/>
      <c r="BP27" s="268"/>
      <c r="BQ27" s="272"/>
      <c r="BR27" s="273"/>
      <c r="BS27" s="268"/>
      <c r="BT27" s="268"/>
      <c r="BU27" s="268"/>
      <c r="BV27" s="268"/>
      <c r="BW27" s="268"/>
      <c r="BX27" s="268"/>
      <c r="BY27" s="268"/>
      <c r="BZ27" s="268"/>
      <c r="CA27" s="272"/>
      <c r="CB27" s="273"/>
      <c r="CC27" s="268"/>
      <c r="CD27" s="268"/>
      <c r="CE27" s="268"/>
      <c r="CF27" s="268"/>
      <c r="CG27" s="268"/>
      <c r="CH27" s="268"/>
      <c r="CI27" s="269"/>
      <c r="CJ27" s="269"/>
      <c r="CK27" s="271"/>
      <c r="CL27" s="270"/>
      <c r="CM27" s="269"/>
      <c r="CN27" s="269"/>
      <c r="CO27" s="269"/>
      <c r="CP27" s="269"/>
      <c r="CQ27" s="269"/>
      <c r="CR27" s="269"/>
      <c r="CS27" s="269"/>
      <c r="CT27" s="269"/>
      <c r="CU27" s="271"/>
      <c r="CV27" s="270"/>
      <c r="CW27" s="269"/>
      <c r="CX27" s="269"/>
      <c r="CY27" s="269"/>
      <c r="CZ27" s="269"/>
      <c r="DA27" s="269"/>
      <c r="DB27" s="269"/>
      <c r="DC27" s="269"/>
      <c r="DD27" s="269"/>
      <c r="DE27" s="271"/>
      <c r="DF27" s="270"/>
      <c r="DG27" s="269"/>
      <c r="DH27" s="269"/>
      <c r="DI27" s="269"/>
      <c r="DJ27" s="269"/>
      <c r="DK27" s="269"/>
      <c r="DL27" s="268"/>
      <c r="DM27" s="268"/>
      <c r="DN27" s="268"/>
      <c r="DO27" s="272"/>
      <c r="DP27" s="273"/>
      <c r="DQ27" s="268"/>
      <c r="DR27" s="268"/>
      <c r="DS27" s="268"/>
      <c r="DT27" s="268"/>
      <c r="DU27" s="268"/>
      <c r="DV27" s="268"/>
      <c r="DW27" s="268"/>
      <c r="DX27" s="268"/>
      <c r="DY27" s="272"/>
      <c r="DZ27" s="273"/>
      <c r="EA27" s="268"/>
      <c r="EB27" s="268"/>
      <c r="EC27" s="268"/>
      <c r="ED27" s="268"/>
      <c r="EE27" s="268"/>
      <c r="EF27" s="268"/>
      <c r="EG27" s="268"/>
      <c r="EH27" s="268"/>
      <c r="EI27" s="272"/>
      <c r="EJ27" s="273"/>
      <c r="EK27" s="268"/>
      <c r="EL27" s="268"/>
      <c r="EM27" s="268"/>
      <c r="EN27" s="268"/>
      <c r="EO27" s="268"/>
      <c r="EP27" s="268"/>
      <c r="EQ27" s="268"/>
      <c r="ER27" s="268"/>
      <c r="ES27" s="272"/>
      <c r="ET27" s="273"/>
      <c r="EU27" s="268"/>
      <c r="EV27" s="268"/>
      <c r="EW27" s="268"/>
      <c r="EX27" s="268"/>
      <c r="EY27" s="268"/>
      <c r="EZ27" s="268"/>
      <c r="FA27" s="268"/>
      <c r="FB27" s="268"/>
      <c r="FC27" s="272"/>
      <c r="FD27" s="273"/>
      <c r="FE27" s="268"/>
      <c r="FF27" s="268"/>
      <c r="FG27" s="269"/>
      <c r="FH27" s="269"/>
      <c r="FI27" s="269"/>
      <c r="FJ27" s="269"/>
      <c r="FK27" s="269"/>
      <c r="FL27" s="269"/>
      <c r="FM27" s="271"/>
      <c r="FN27" s="270"/>
      <c r="FO27" s="269"/>
      <c r="FP27" s="269"/>
      <c r="FQ27" s="269"/>
      <c r="FR27" s="269"/>
      <c r="FS27" s="269"/>
      <c r="FT27" s="269"/>
      <c r="FU27" s="268"/>
      <c r="FV27" s="268"/>
      <c r="FW27" s="272"/>
    </row>
    <row r="28" spans="2:179">
      <c r="B28" s="262"/>
      <c r="C28" s="257"/>
      <c r="D28" s="481"/>
      <c r="E28" s="482"/>
      <c r="F28" s="258"/>
      <c r="G28" s="258"/>
      <c r="H28" s="259" t="s">
        <v>858</v>
      </c>
      <c r="I28" s="260">
        <f>ROUND(G27*1/3,1)</f>
        <v>14.4</v>
      </c>
      <c r="J28" s="274">
        <v>13</v>
      </c>
      <c r="K28" s="275"/>
      <c r="L28" s="276"/>
      <c r="M28" s="276"/>
      <c r="N28" s="276"/>
      <c r="O28" s="276"/>
      <c r="P28" s="276"/>
      <c r="Q28" s="276"/>
      <c r="R28" s="276"/>
      <c r="S28" s="276"/>
      <c r="T28" s="277"/>
      <c r="U28" s="276"/>
      <c r="V28" s="276"/>
      <c r="W28" s="276"/>
      <c r="X28" s="276"/>
      <c r="Y28" s="276"/>
      <c r="Z28" s="276"/>
      <c r="AA28" s="276"/>
      <c r="AB28" s="276"/>
      <c r="AC28" s="278"/>
      <c r="AD28" s="277"/>
      <c r="AE28" s="276"/>
      <c r="AF28" s="276"/>
      <c r="AG28" s="276"/>
      <c r="AH28" s="276"/>
      <c r="AI28" s="276"/>
      <c r="AJ28" s="276"/>
      <c r="AK28" s="276"/>
      <c r="AL28" s="276"/>
      <c r="AM28" s="278"/>
      <c r="AN28" s="277"/>
      <c r="AO28" s="276"/>
      <c r="AP28" s="276"/>
      <c r="AQ28" s="276"/>
      <c r="AR28" s="276"/>
      <c r="AS28" s="276"/>
      <c r="AT28" s="276"/>
      <c r="AU28" s="276"/>
      <c r="AV28" s="276"/>
      <c r="AW28" s="278"/>
      <c r="AX28" s="277"/>
      <c r="AY28" s="276"/>
      <c r="AZ28" s="276"/>
      <c r="BA28" s="276"/>
      <c r="BB28" s="276"/>
      <c r="BC28" s="276"/>
      <c r="BD28" s="276"/>
      <c r="BE28" s="276"/>
      <c r="BF28" s="276"/>
      <c r="BG28" s="278"/>
      <c r="BH28" s="277"/>
      <c r="BI28" s="276"/>
      <c r="BJ28" s="276"/>
      <c r="BK28" s="276"/>
      <c r="BL28" s="276"/>
      <c r="BM28" s="276"/>
      <c r="BN28" s="276"/>
      <c r="BO28" s="276"/>
      <c r="BP28" s="276"/>
      <c r="BQ28" s="278"/>
      <c r="BR28" s="277"/>
      <c r="BS28" s="276"/>
      <c r="BT28" s="276"/>
      <c r="BU28" s="276"/>
      <c r="BV28" s="276"/>
      <c r="BW28" s="276"/>
      <c r="BX28" s="276"/>
      <c r="BY28" s="276"/>
      <c r="BZ28" s="276"/>
      <c r="CA28" s="278"/>
      <c r="CB28" s="277"/>
      <c r="CC28" s="276"/>
      <c r="CD28" s="276"/>
      <c r="CE28" s="276"/>
      <c r="CF28" s="276"/>
      <c r="CG28" s="276"/>
      <c r="CH28" s="276"/>
      <c r="CI28" s="276"/>
      <c r="CJ28" s="276"/>
      <c r="CK28" s="278"/>
      <c r="CL28" s="277"/>
      <c r="CM28" s="276"/>
      <c r="CN28" s="276"/>
      <c r="CO28" s="276"/>
      <c r="CP28" s="276"/>
      <c r="CQ28" s="276"/>
      <c r="CR28" s="276"/>
      <c r="CS28" s="276"/>
      <c r="CT28" s="276"/>
      <c r="CU28" s="278"/>
      <c r="CV28" s="277"/>
      <c r="CW28" s="276"/>
      <c r="CX28" s="276"/>
      <c r="CY28" s="276"/>
      <c r="CZ28" s="276"/>
      <c r="DA28" s="276"/>
      <c r="DB28" s="276"/>
      <c r="DC28" s="276"/>
      <c r="DD28" s="276"/>
      <c r="DE28" s="278"/>
      <c r="DF28" s="277"/>
      <c r="DG28" s="276"/>
      <c r="DH28" s="276"/>
      <c r="DI28" s="276"/>
      <c r="DJ28" s="276"/>
      <c r="DK28" s="276"/>
      <c r="DL28" s="276"/>
      <c r="DM28" s="276"/>
      <c r="DN28" s="276"/>
      <c r="DO28" s="278"/>
      <c r="DP28" s="277"/>
      <c r="DQ28" s="276"/>
      <c r="DR28" s="276"/>
      <c r="DS28" s="276"/>
      <c r="DT28" s="276"/>
      <c r="DU28" s="276"/>
      <c r="DV28" s="276"/>
      <c r="DW28" s="276"/>
      <c r="DX28" s="276"/>
      <c r="DY28" s="278"/>
      <c r="DZ28" s="277"/>
      <c r="EA28" s="276"/>
      <c r="EB28" s="276"/>
      <c r="EC28" s="276"/>
      <c r="ED28" s="276"/>
      <c r="EE28" s="276"/>
      <c r="EF28" s="276"/>
      <c r="EG28" s="276"/>
      <c r="EH28" s="276"/>
      <c r="EI28" s="278"/>
      <c r="EJ28" s="277"/>
      <c r="EK28" s="276"/>
      <c r="EL28" s="276"/>
      <c r="EM28" s="276"/>
      <c r="EN28" s="276"/>
      <c r="EO28" s="276"/>
      <c r="EP28" s="276"/>
      <c r="EQ28" s="276"/>
      <c r="ER28" s="276"/>
      <c r="ES28" s="278"/>
      <c r="ET28" s="277"/>
      <c r="EU28" s="276"/>
      <c r="EV28" s="276"/>
      <c r="EW28" s="276"/>
      <c r="EX28" s="276"/>
      <c r="EY28" s="276"/>
      <c r="EZ28" s="276"/>
      <c r="FA28" s="276"/>
      <c r="FB28" s="276"/>
      <c r="FC28" s="278"/>
      <c r="FD28" s="277"/>
      <c r="FE28" s="276"/>
      <c r="FF28" s="276"/>
      <c r="FG28" s="276"/>
      <c r="FH28" s="276"/>
      <c r="FI28" s="276"/>
      <c r="FJ28" s="276"/>
      <c r="FK28" s="276"/>
      <c r="FL28" s="276"/>
      <c r="FM28" s="278"/>
      <c r="FN28" s="277"/>
      <c r="FO28" s="276"/>
      <c r="FP28" s="276"/>
      <c r="FQ28" s="276"/>
      <c r="FR28" s="276"/>
      <c r="FS28" s="276"/>
      <c r="FT28" s="276"/>
      <c r="FU28" s="276"/>
      <c r="FV28" s="276"/>
      <c r="FW28" s="278"/>
    </row>
    <row r="29" spans="2:179" ht="14.25" thickBot="1">
      <c r="B29" s="262"/>
      <c r="C29" s="257"/>
      <c r="D29" s="473" t="s">
        <v>108</v>
      </c>
      <c r="E29" s="474"/>
      <c r="F29" s="263">
        <f>'[1]基本 (2)'!F116</f>
        <v>4.2</v>
      </c>
      <c r="G29" s="263">
        <f>ROUND(F29*1.7,1)</f>
        <v>7.1</v>
      </c>
      <c r="H29" s="264" t="s">
        <v>857</v>
      </c>
      <c r="I29" s="265">
        <f>ROUND(G29*2/3,1)</f>
        <v>4.7</v>
      </c>
      <c r="J29" s="251">
        <v>1</v>
      </c>
      <c r="K29" s="279"/>
      <c r="L29" s="269"/>
      <c r="M29" s="269"/>
      <c r="N29" s="269"/>
      <c r="O29" s="269"/>
      <c r="P29" s="255"/>
      <c r="Q29" s="255"/>
      <c r="R29" s="255"/>
      <c r="S29" s="255"/>
      <c r="T29" s="273"/>
      <c r="U29" s="268"/>
      <c r="V29" s="268"/>
      <c r="W29" s="268"/>
      <c r="X29" s="255"/>
      <c r="Y29" s="255"/>
      <c r="Z29" s="255"/>
      <c r="AA29" s="255"/>
      <c r="AB29" s="255"/>
      <c r="AC29" s="257"/>
      <c r="AD29" s="273"/>
      <c r="AE29" s="268"/>
      <c r="AF29" s="268"/>
      <c r="AG29" s="268"/>
      <c r="AH29" s="255"/>
      <c r="AI29" s="255"/>
      <c r="AJ29" s="255"/>
      <c r="AK29" s="255"/>
      <c r="AL29" s="255"/>
      <c r="AM29" s="257"/>
      <c r="AN29" s="273"/>
      <c r="AO29" s="268"/>
      <c r="AP29" s="268"/>
      <c r="AQ29" s="268"/>
      <c r="AR29" s="255"/>
      <c r="AS29" s="255"/>
      <c r="AT29" s="255"/>
      <c r="AU29" s="255"/>
      <c r="AV29" s="255"/>
      <c r="AW29" s="257"/>
      <c r="AX29" s="273"/>
      <c r="AY29" s="268"/>
      <c r="AZ29" s="268"/>
      <c r="BA29" s="268"/>
      <c r="BB29" s="255"/>
      <c r="BC29" s="255"/>
      <c r="BD29" s="255"/>
      <c r="BE29" s="255"/>
      <c r="BF29" s="255"/>
      <c r="BG29" s="257"/>
      <c r="BH29" s="273"/>
      <c r="BI29" s="268"/>
      <c r="BJ29" s="268"/>
      <c r="BK29" s="268"/>
      <c r="BL29" s="255"/>
      <c r="BM29" s="255"/>
      <c r="BN29" s="255"/>
      <c r="BO29" s="255"/>
      <c r="BP29" s="255"/>
      <c r="BQ29" s="257"/>
      <c r="BR29" s="273"/>
      <c r="BS29" s="268"/>
      <c r="BT29" s="268"/>
      <c r="BU29" s="268"/>
      <c r="BV29" s="255"/>
      <c r="BW29" s="255"/>
      <c r="BX29" s="255"/>
      <c r="BY29" s="255"/>
      <c r="BZ29" s="255"/>
      <c r="CA29" s="257"/>
      <c r="CB29" s="273"/>
      <c r="CC29" s="268"/>
      <c r="CD29" s="268"/>
      <c r="CE29" s="268"/>
      <c r="CF29" s="255"/>
      <c r="CG29" s="255"/>
      <c r="CH29" s="255"/>
      <c r="CI29" s="255"/>
      <c r="CJ29" s="255"/>
      <c r="CK29" s="257"/>
      <c r="CL29" s="273"/>
      <c r="CM29" s="268"/>
      <c r="CN29" s="268"/>
      <c r="CO29" s="268"/>
      <c r="CP29" s="255"/>
      <c r="CQ29" s="255"/>
      <c r="CR29" s="255"/>
      <c r="CS29" s="255"/>
      <c r="CT29" s="255"/>
      <c r="CU29" s="257"/>
      <c r="CV29" s="273"/>
      <c r="CW29" s="268"/>
      <c r="CX29" s="268"/>
      <c r="CY29" s="268"/>
      <c r="CZ29" s="255"/>
      <c r="DA29" s="255"/>
      <c r="DB29" s="255"/>
      <c r="DC29" s="255"/>
      <c r="DD29" s="255"/>
      <c r="DE29" s="257"/>
      <c r="DF29" s="273"/>
      <c r="DG29" s="268"/>
      <c r="DH29" s="268"/>
      <c r="DI29" s="268"/>
      <c r="DJ29" s="255"/>
      <c r="DK29" s="255"/>
      <c r="DL29" s="255"/>
      <c r="DM29" s="255"/>
      <c r="DN29" s="255"/>
      <c r="DO29" s="257"/>
      <c r="DP29" s="273"/>
      <c r="DQ29" s="268"/>
      <c r="DR29" s="268"/>
      <c r="DS29" s="268"/>
      <c r="DT29" s="255"/>
      <c r="DU29" s="255"/>
      <c r="DV29" s="255"/>
      <c r="DW29" s="255"/>
      <c r="DX29" s="255"/>
      <c r="DY29" s="257"/>
      <c r="DZ29" s="273"/>
      <c r="EA29" s="268"/>
      <c r="EB29" s="268"/>
      <c r="EC29" s="268"/>
      <c r="ED29" s="255"/>
      <c r="EE29" s="255"/>
      <c r="EF29" s="255"/>
      <c r="EG29" s="255"/>
      <c r="EH29" s="255"/>
      <c r="EI29" s="257"/>
      <c r="EJ29" s="273"/>
      <c r="EK29" s="268"/>
      <c r="EL29" s="268"/>
      <c r="EM29" s="268"/>
      <c r="EN29" s="255"/>
      <c r="EO29" s="255"/>
      <c r="EP29" s="255"/>
      <c r="EQ29" s="255"/>
      <c r="ER29" s="255"/>
      <c r="ES29" s="257"/>
      <c r="ET29" s="273"/>
      <c r="EU29" s="268"/>
      <c r="EV29" s="268"/>
      <c r="EW29" s="268"/>
      <c r="EX29" s="255"/>
      <c r="EY29" s="255"/>
      <c r="EZ29" s="255"/>
      <c r="FA29" s="255"/>
      <c r="FB29" s="255"/>
      <c r="FC29" s="257"/>
      <c r="FD29" s="273"/>
      <c r="FE29" s="268"/>
      <c r="FF29" s="268"/>
      <c r="FG29" s="268"/>
      <c r="FH29" s="255"/>
      <c r="FI29" s="255"/>
      <c r="FJ29" s="255"/>
      <c r="FK29" s="255"/>
      <c r="FL29" s="255"/>
      <c r="FM29" s="257"/>
      <c r="FN29" s="273"/>
      <c r="FO29" s="268"/>
      <c r="FP29" s="268"/>
      <c r="FQ29" s="268"/>
      <c r="FR29" s="255"/>
      <c r="FS29" s="255"/>
      <c r="FT29" s="255"/>
      <c r="FU29" s="269"/>
      <c r="FV29" s="269"/>
      <c r="FW29" s="257"/>
    </row>
    <row r="30" spans="2:179">
      <c r="B30" s="277"/>
      <c r="C30" s="278"/>
      <c r="D30" s="481"/>
      <c r="E30" s="482"/>
      <c r="F30" s="258"/>
      <c r="G30" s="258"/>
      <c r="H30" s="259" t="s">
        <v>858</v>
      </c>
      <c r="I30" s="260">
        <f>ROUND(G29*1/3,1)</f>
        <v>2.4</v>
      </c>
      <c r="J30" s="274">
        <v>14</v>
      </c>
      <c r="K30" s="275"/>
      <c r="L30" s="276"/>
      <c r="M30" s="276"/>
      <c r="N30" s="276"/>
      <c r="O30" s="276"/>
      <c r="P30" s="276"/>
      <c r="Q30" s="276"/>
      <c r="R30" s="276"/>
      <c r="S30" s="276"/>
      <c r="T30" s="277"/>
      <c r="U30" s="276"/>
      <c r="V30" s="276"/>
      <c r="W30" s="276"/>
      <c r="X30" s="276"/>
      <c r="Y30" s="276"/>
      <c r="Z30" s="276"/>
      <c r="AA30" s="276"/>
      <c r="AB30" s="276"/>
      <c r="AC30" s="278"/>
      <c r="AD30" s="277"/>
      <c r="AE30" s="276"/>
      <c r="AF30" s="276"/>
      <c r="AG30" s="276"/>
      <c r="AH30" s="276"/>
      <c r="AI30" s="276"/>
      <c r="AJ30" s="276"/>
      <c r="AK30" s="276"/>
      <c r="AL30" s="276"/>
      <c r="AM30" s="278"/>
      <c r="AN30" s="277"/>
      <c r="AO30" s="276"/>
      <c r="AP30" s="276"/>
      <c r="AQ30" s="276"/>
      <c r="AR30" s="276"/>
      <c r="AS30" s="276"/>
      <c r="AT30" s="276"/>
      <c r="AU30" s="276"/>
      <c r="AV30" s="276"/>
      <c r="AW30" s="278"/>
      <c r="AX30" s="277"/>
      <c r="AY30" s="276"/>
      <c r="AZ30" s="276"/>
      <c r="BA30" s="276"/>
      <c r="BB30" s="276"/>
      <c r="BC30" s="276"/>
      <c r="BD30" s="276"/>
      <c r="BE30" s="276"/>
      <c r="BF30" s="276"/>
      <c r="BG30" s="278"/>
      <c r="BH30" s="277"/>
      <c r="BI30" s="276"/>
      <c r="BJ30" s="276"/>
      <c r="BK30" s="276"/>
      <c r="BL30" s="276"/>
      <c r="BM30" s="276"/>
      <c r="BN30" s="276"/>
      <c r="BO30" s="276"/>
      <c r="BP30" s="276"/>
      <c r="BQ30" s="278"/>
      <c r="BR30" s="277"/>
      <c r="BS30" s="276"/>
      <c r="BT30" s="276"/>
      <c r="BU30" s="276"/>
      <c r="BV30" s="276"/>
      <c r="BW30" s="276"/>
      <c r="BX30" s="276"/>
      <c r="BY30" s="276"/>
      <c r="BZ30" s="276"/>
      <c r="CA30" s="278"/>
      <c r="CB30" s="277"/>
      <c r="CC30" s="276"/>
      <c r="CD30" s="276"/>
      <c r="CE30" s="276"/>
      <c r="CF30" s="276"/>
      <c r="CG30" s="276"/>
      <c r="CH30" s="276"/>
      <c r="CI30" s="276"/>
      <c r="CJ30" s="276"/>
      <c r="CK30" s="278"/>
      <c r="CL30" s="277"/>
      <c r="CM30" s="276"/>
      <c r="CN30" s="276"/>
      <c r="CO30" s="276"/>
      <c r="CP30" s="276"/>
      <c r="CQ30" s="276"/>
      <c r="CR30" s="276"/>
      <c r="CS30" s="276"/>
      <c r="CT30" s="276"/>
      <c r="CU30" s="278"/>
      <c r="CV30" s="277"/>
      <c r="CW30" s="276"/>
      <c r="CX30" s="276"/>
      <c r="CY30" s="276"/>
      <c r="CZ30" s="276"/>
      <c r="DA30" s="276"/>
      <c r="DB30" s="276"/>
      <c r="DC30" s="276"/>
      <c r="DD30" s="276"/>
      <c r="DE30" s="278"/>
      <c r="DF30" s="277"/>
      <c r="DG30" s="276"/>
      <c r="DH30" s="276"/>
      <c r="DI30" s="276"/>
      <c r="DJ30" s="276"/>
      <c r="DK30" s="276"/>
      <c r="DL30" s="276"/>
      <c r="DM30" s="276"/>
      <c r="DN30" s="276"/>
      <c r="DO30" s="278"/>
      <c r="DP30" s="277"/>
      <c r="DQ30" s="276"/>
      <c r="DR30" s="276"/>
      <c r="DS30" s="276"/>
      <c r="DT30" s="276"/>
      <c r="DU30" s="276"/>
      <c r="DV30" s="276"/>
      <c r="DW30" s="276"/>
      <c r="DX30" s="276"/>
      <c r="DY30" s="278"/>
      <c r="DZ30" s="277"/>
      <c r="EA30" s="276"/>
      <c r="EB30" s="276"/>
      <c r="EC30" s="276"/>
      <c r="ED30" s="276"/>
      <c r="EE30" s="276"/>
      <c r="EF30" s="276"/>
      <c r="EG30" s="276"/>
      <c r="EH30" s="276"/>
      <c r="EI30" s="278"/>
      <c r="EJ30" s="277"/>
      <c r="EK30" s="276"/>
      <c r="EL30" s="276"/>
      <c r="EM30" s="276"/>
      <c r="EN30" s="276"/>
      <c r="EO30" s="276"/>
      <c r="EP30" s="276"/>
      <c r="EQ30" s="276"/>
      <c r="ER30" s="276"/>
      <c r="ES30" s="278"/>
      <c r="ET30" s="277"/>
      <c r="EU30" s="276"/>
      <c r="EV30" s="276"/>
      <c r="EW30" s="276"/>
      <c r="EX30" s="276"/>
      <c r="EY30" s="276"/>
      <c r="EZ30" s="276"/>
      <c r="FA30" s="276"/>
      <c r="FB30" s="276"/>
      <c r="FC30" s="278"/>
      <c r="FD30" s="277"/>
      <c r="FE30" s="276"/>
      <c r="FF30" s="276"/>
      <c r="FG30" s="276"/>
      <c r="FH30" s="276"/>
      <c r="FI30" s="276"/>
      <c r="FJ30" s="276"/>
      <c r="FK30" s="276"/>
      <c r="FL30" s="276"/>
      <c r="FM30" s="278"/>
      <c r="FN30" s="277"/>
      <c r="FO30" s="276"/>
      <c r="FP30" s="276"/>
      <c r="FQ30" s="276"/>
      <c r="FR30" s="276"/>
      <c r="FS30" s="276"/>
      <c r="FT30" s="276"/>
      <c r="FU30" s="276"/>
      <c r="FV30" s="276"/>
      <c r="FW30" s="278"/>
    </row>
    <row r="31" spans="2:179" ht="14.25" customHeight="1" thickBot="1">
      <c r="B31" s="473" t="s">
        <v>110</v>
      </c>
      <c r="C31" s="474"/>
      <c r="D31" s="474"/>
      <c r="E31" s="474"/>
      <c r="F31" s="263">
        <f>'[1]基本 (2)'!F117</f>
        <v>9</v>
      </c>
      <c r="G31" s="263">
        <f>ROUND(F31*1.7,1)</f>
        <v>15.3</v>
      </c>
      <c r="H31" s="264" t="s">
        <v>847</v>
      </c>
      <c r="I31" s="265" t="s">
        <v>829</v>
      </c>
      <c r="J31" s="251">
        <v>12</v>
      </c>
      <c r="K31" s="261"/>
      <c r="L31" s="255"/>
      <c r="M31" s="255"/>
      <c r="N31" s="255"/>
      <c r="O31" s="255"/>
      <c r="P31" s="255"/>
      <c r="Q31" s="255"/>
      <c r="R31" s="255"/>
      <c r="S31" s="255"/>
      <c r="T31" s="262"/>
      <c r="U31" s="255"/>
      <c r="V31" s="255"/>
      <c r="W31" s="255"/>
      <c r="X31" s="255"/>
      <c r="Y31" s="255"/>
      <c r="Z31" s="255"/>
      <c r="AA31" s="255"/>
      <c r="AB31" s="255"/>
      <c r="AC31" s="257"/>
      <c r="AD31" s="262"/>
      <c r="AE31" s="255"/>
      <c r="AF31" s="255"/>
      <c r="AG31" s="255"/>
      <c r="AH31" s="255"/>
      <c r="AI31" s="255"/>
      <c r="AJ31" s="255"/>
      <c r="AK31" s="255"/>
      <c r="AL31" s="255"/>
      <c r="AM31" s="257"/>
      <c r="AN31" s="262"/>
      <c r="AO31" s="255"/>
      <c r="AP31" s="255"/>
      <c r="AQ31" s="255"/>
      <c r="AR31" s="255"/>
      <c r="AS31" s="255"/>
      <c r="AT31" s="255"/>
      <c r="AU31" s="255"/>
      <c r="AV31" s="255"/>
      <c r="AW31" s="257"/>
      <c r="AX31" s="262"/>
      <c r="AY31" s="255"/>
      <c r="AZ31" s="255"/>
      <c r="BA31" s="255"/>
      <c r="BB31" s="255"/>
      <c r="BC31" s="255"/>
      <c r="BD31" s="255"/>
      <c r="BE31" s="255"/>
      <c r="BF31" s="255"/>
      <c r="BG31" s="257"/>
      <c r="BH31" s="262"/>
      <c r="BI31" s="255"/>
      <c r="BJ31" s="255"/>
      <c r="BK31" s="255"/>
      <c r="BL31" s="255"/>
      <c r="BM31" s="255"/>
      <c r="BN31" s="255"/>
      <c r="BO31" s="255"/>
      <c r="BP31" s="255"/>
      <c r="BQ31" s="257"/>
      <c r="BR31" s="262"/>
      <c r="BS31" s="255"/>
      <c r="BT31" s="255"/>
      <c r="BU31" s="255"/>
      <c r="BV31" s="255"/>
      <c r="BW31" s="255"/>
      <c r="BX31" s="255"/>
      <c r="BY31" s="255"/>
      <c r="BZ31" s="255"/>
      <c r="CA31" s="257"/>
      <c r="CB31" s="262"/>
      <c r="CC31" s="255"/>
      <c r="CD31" s="255"/>
      <c r="CE31" s="255"/>
      <c r="CF31" s="255"/>
      <c r="CG31" s="255"/>
      <c r="CH31" s="255"/>
      <c r="CI31" s="255"/>
      <c r="CJ31" s="255"/>
      <c r="CK31" s="257"/>
      <c r="CL31" s="262"/>
      <c r="CM31" s="255"/>
      <c r="CN31" s="255"/>
      <c r="CO31" s="255"/>
      <c r="CP31" s="255"/>
      <c r="CQ31" s="255"/>
      <c r="CR31" s="255"/>
      <c r="CS31" s="255"/>
      <c r="CT31" s="255"/>
      <c r="CU31" s="257"/>
      <c r="CV31" s="262"/>
      <c r="CW31" s="255"/>
      <c r="CX31" s="255"/>
      <c r="CY31" s="255"/>
      <c r="CZ31" s="255"/>
      <c r="DA31" s="255"/>
      <c r="DB31" s="255"/>
      <c r="DC31" s="255"/>
      <c r="DD31" s="255"/>
      <c r="DE31" s="257"/>
      <c r="DF31" s="262"/>
      <c r="DG31" s="255"/>
      <c r="DH31" s="255"/>
      <c r="DI31" s="255"/>
      <c r="DJ31" s="255"/>
      <c r="DK31" s="255"/>
      <c r="DL31" s="255"/>
      <c r="DM31" s="255"/>
      <c r="DN31" s="255"/>
      <c r="DO31" s="257"/>
      <c r="DP31" s="262"/>
      <c r="DQ31" s="255"/>
      <c r="DR31" s="255"/>
      <c r="DS31" s="255"/>
      <c r="DT31" s="255"/>
      <c r="DU31" s="255"/>
      <c r="DV31" s="255"/>
      <c r="DW31" s="255"/>
      <c r="DX31" s="255"/>
      <c r="DY31" s="257"/>
      <c r="DZ31" s="262"/>
      <c r="EA31" s="255"/>
      <c r="EB31" s="255"/>
      <c r="EC31" s="255"/>
      <c r="ED31" s="255"/>
      <c r="EE31" s="255"/>
      <c r="EF31" s="255"/>
      <c r="EG31" s="255"/>
      <c r="EH31" s="255"/>
      <c r="EI31" s="257"/>
      <c r="EJ31" s="262"/>
      <c r="EK31" s="255"/>
      <c r="EL31" s="255"/>
      <c r="EM31" s="255"/>
      <c r="EN31" s="255"/>
      <c r="EO31" s="255"/>
      <c r="EP31" s="255"/>
      <c r="EQ31" s="269"/>
      <c r="ER31" s="269"/>
      <c r="ES31" s="271"/>
      <c r="ET31" s="270"/>
      <c r="EU31" s="269"/>
      <c r="EV31" s="269"/>
      <c r="EW31" s="269"/>
      <c r="EX31" s="269"/>
      <c r="EY31" s="269"/>
      <c r="EZ31" s="269"/>
      <c r="FA31" s="269"/>
      <c r="FB31" s="269"/>
      <c r="FC31" s="271"/>
      <c r="FD31" s="270"/>
      <c r="FE31" s="269"/>
      <c r="FF31" s="269"/>
      <c r="FG31" s="255"/>
      <c r="FH31" s="255"/>
      <c r="FI31" s="255"/>
      <c r="FJ31" s="255"/>
      <c r="FK31" s="255"/>
      <c r="FL31" s="255"/>
      <c r="FM31" s="257"/>
      <c r="FN31" s="262"/>
      <c r="FO31" s="255"/>
      <c r="FP31" s="255"/>
      <c r="FQ31" s="255"/>
      <c r="FR31" s="255"/>
      <c r="FS31" s="255"/>
      <c r="FT31" s="255"/>
      <c r="FU31" s="255"/>
      <c r="FV31" s="255"/>
      <c r="FW31" s="257"/>
    </row>
    <row r="32" spans="2:179" ht="13.5" customHeight="1">
      <c r="B32" s="481" t="s">
        <v>847</v>
      </c>
      <c r="C32" s="482"/>
      <c r="D32" s="482"/>
      <c r="E32" s="482"/>
      <c r="F32" s="258"/>
      <c r="G32" s="258"/>
      <c r="H32" s="259"/>
      <c r="I32" s="260"/>
      <c r="J32" s="274"/>
      <c r="K32" s="275"/>
      <c r="L32" s="276"/>
      <c r="M32" s="276"/>
      <c r="N32" s="276"/>
      <c r="O32" s="276"/>
      <c r="P32" s="276"/>
      <c r="Q32" s="276"/>
      <c r="R32" s="276"/>
      <c r="S32" s="276"/>
      <c r="T32" s="277"/>
      <c r="U32" s="276"/>
      <c r="V32" s="276"/>
      <c r="W32" s="276"/>
      <c r="X32" s="276"/>
      <c r="Y32" s="276"/>
      <c r="Z32" s="276"/>
      <c r="AA32" s="276"/>
      <c r="AB32" s="276"/>
      <c r="AC32" s="278"/>
      <c r="AD32" s="277"/>
      <c r="AE32" s="276"/>
      <c r="AF32" s="276"/>
      <c r="AG32" s="276"/>
      <c r="AH32" s="276"/>
      <c r="AI32" s="276"/>
      <c r="AJ32" s="276"/>
      <c r="AK32" s="276"/>
      <c r="AL32" s="276"/>
      <c r="AM32" s="278"/>
      <c r="AN32" s="277"/>
      <c r="AO32" s="276"/>
      <c r="AP32" s="276"/>
      <c r="AQ32" s="276"/>
      <c r="AR32" s="276"/>
      <c r="AS32" s="276"/>
      <c r="AT32" s="276"/>
      <c r="AU32" s="276"/>
      <c r="AV32" s="276"/>
      <c r="AW32" s="278"/>
      <c r="AX32" s="277"/>
      <c r="AY32" s="276"/>
      <c r="AZ32" s="276"/>
      <c r="BA32" s="276"/>
      <c r="BB32" s="276"/>
      <c r="BC32" s="276"/>
      <c r="BD32" s="276"/>
      <c r="BE32" s="276"/>
      <c r="BF32" s="276"/>
      <c r="BG32" s="278"/>
      <c r="BH32" s="277"/>
      <c r="BI32" s="276"/>
      <c r="BJ32" s="276"/>
      <c r="BK32" s="276"/>
      <c r="BL32" s="276"/>
      <c r="BM32" s="276"/>
      <c r="BN32" s="276"/>
      <c r="BO32" s="276"/>
      <c r="BP32" s="276"/>
      <c r="BQ32" s="278"/>
      <c r="BR32" s="277"/>
      <c r="BS32" s="276"/>
      <c r="BT32" s="276"/>
      <c r="BU32" s="276"/>
      <c r="BV32" s="276"/>
      <c r="BW32" s="276"/>
      <c r="BX32" s="276"/>
      <c r="BY32" s="276"/>
      <c r="BZ32" s="276"/>
      <c r="CA32" s="278"/>
      <c r="CB32" s="277"/>
      <c r="CC32" s="276"/>
      <c r="CD32" s="276"/>
      <c r="CE32" s="276"/>
      <c r="CF32" s="276"/>
      <c r="CG32" s="276"/>
      <c r="CH32" s="276"/>
      <c r="CI32" s="276"/>
      <c r="CJ32" s="276"/>
      <c r="CK32" s="278"/>
      <c r="CL32" s="277"/>
      <c r="CM32" s="276"/>
      <c r="CN32" s="276"/>
      <c r="CO32" s="276"/>
      <c r="CP32" s="276"/>
      <c r="CQ32" s="276"/>
      <c r="CR32" s="276"/>
      <c r="CS32" s="276"/>
      <c r="CT32" s="276"/>
      <c r="CU32" s="278"/>
      <c r="CV32" s="277"/>
      <c r="CW32" s="276"/>
      <c r="CX32" s="276"/>
      <c r="CY32" s="276"/>
      <c r="CZ32" s="276"/>
      <c r="DA32" s="276"/>
      <c r="DB32" s="276"/>
      <c r="DC32" s="276"/>
      <c r="DD32" s="276"/>
      <c r="DE32" s="278"/>
      <c r="DF32" s="277"/>
      <c r="DG32" s="276"/>
      <c r="DH32" s="276"/>
      <c r="DI32" s="276"/>
      <c r="DJ32" s="276"/>
      <c r="DK32" s="276"/>
      <c r="DL32" s="276"/>
      <c r="DM32" s="276"/>
      <c r="DN32" s="276"/>
      <c r="DO32" s="278"/>
      <c r="DP32" s="277"/>
      <c r="DQ32" s="276"/>
      <c r="DR32" s="276"/>
      <c r="DS32" s="276"/>
      <c r="DT32" s="276"/>
      <c r="DU32" s="276"/>
      <c r="DV32" s="276"/>
      <c r="DW32" s="276"/>
      <c r="DX32" s="276"/>
      <c r="DY32" s="278"/>
      <c r="DZ32" s="277"/>
      <c r="EA32" s="276"/>
      <c r="EB32" s="276"/>
      <c r="EC32" s="276"/>
      <c r="ED32" s="276"/>
      <c r="EE32" s="276"/>
      <c r="EF32" s="276"/>
      <c r="EG32" s="276"/>
      <c r="EH32" s="276"/>
      <c r="EI32" s="278"/>
      <c r="EJ32" s="277"/>
      <c r="EK32" s="276"/>
      <c r="EL32" s="276"/>
      <c r="EM32" s="276"/>
      <c r="EN32" s="276"/>
      <c r="EO32" s="276"/>
      <c r="EP32" s="276"/>
      <c r="EQ32" s="276"/>
      <c r="ER32" s="276"/>
      <c r="ES32" s="278"/>
      <c r="ET32" s="277"/>
      <c r="EU32" s="276"/>
      <c r="EV32" s="276"/>
      <c r="EW32" s="276"/>
      <c r="EX32" s="276"/>
      <c r="EY32" s="276"/>
      <c r="EZ32" s="276"/>
      <c r="FA32" s="276"/>
      <c r="FB32" s="276"/>
      <c r="FC32" s="278"/>
      <c r="FD32" s="277"/>
      <c r="FE32" s="276"/>
      <c r="FF32" s="276"/>
      <c r="FG32" s="276"/>
      <c r="FH32" s="276"/>
      <c r="FI32" s="276"/>
      <c r="FJ32" s="276"/>
      <c r="FK32" s="276"/>
      <c r="FL32" s="276"/>
      <c r="FM32" s="278"/>
      <c r="FN32" s="277"/>
      <c r="FO32" s="276"/>
      <c r="FP32" s="276"/>
      <c r="FQ32" s="276"/>
      <c r="FR32" s="276"/>
      <c r="FS32" s="276"/>
      <c r="FT32" s="276"/>
      <c r="FU32" s="276"/>
      <c r="FV32" s="276"/>
      <c r="FW32" s="278"/>
    </row>
    <row r="33" spans="2:179" ht="14.25" hidden="1" customHeight="1">
      <c r="B33" s="473" t="s">
        <v>604</v>
      </c>
      <c r="C33" s="474"/>
      <c r="D33" s="474"/>
      <c r="E33" s="483"/>
      <c r="F33" s="263">
        <f>'[1]基本 (2)'!F118</f>
        <v>0</v>
      </c>
      <c r="G33" s="263">
        <f>ROUND(F33*1.7,1)</f>
        <v>0</v>
      </c>
      <c r="H33" s="264" t="s">
        <v>847</v>
      </c>
      <c r="I33" s="265" t="s">
        <v>829</v>
      </c>
      <c r="J33" s="251"/>
      <c r="K33" s="261"/>
      <c r="L33" s="255"/>
      <c r="M33" s="255"/>
      <c r="N33" s="255"/>
      <c r="O33" s="255"/>
      <c r="P33" s="255"/>
      <c r="Q33" s="255"/>
      <c r="R33" s="255"/>
      <c r="S33" s="255"/>
      <c r="T33" s="262"/>
      <c r="U33" s="255"/>
      <c r="V33" s="255"/>
      <c r="W33" s="255"/>
      <c r="X33" s="255"/>
      <c r="Y33" s="255"/>
      <c r="Z33" s="255"/>
      <c r="AA33" s="255"/>
      <c r="AB33" s="255"/>
      <c r="AC33" s="257"/>
      <c r="AD33" s="262"/>
      <c r="AE33" s="255"/>
      <c r="AF33" s="255"/>
      <c r="AG33" s="255"/>
      <c r="AH33" s="255"/>
      <c r="AI33" s="255"/>
      <c r="AJ33" s="255"/>
      <c r="AK33" s="255"/>
      <c r="AL33" s="255"/>
      <c r="AM33" s="257"/>
      <c r="AN33" s="262"/>
      <c r="AO33" s="255"/>
      <c r="AP33" s="255"/>
      <c r="AQ33" s="255"/>
      <c r="AR33" s="255"/>
      <c r="AS33" s="255"/>
      <c r="AT33" s="255"/>
      <c r="AU33" s="255"/>
      <c r="AV33" s="255"/>
      <c r="AW33" s="257"/>
      <c r="AX33" s="262"/>
      <c r="AY33" s="255"/>
      <c r="AZ33" s="255"/>
      <c r="BA33" s="255"/>
      <c r="BB33" s="255"/>
      <c r="BC33" s="255"/>
      <c r="BD33" s="255"/>
      <c r="BE33" s="255"/>
      <c r="BF33" s="255"/>
      <c r="BG33" s="257"/>
      <c r="BH33" s="262"/>
      <c r="BI33" s="255"/>
      <c r="BJ33" s="255"/>
      <c r="BK33" s="255"/>
      <c r="BL33" s="255"/>
      <c r="BM33" s="255"/>
      <c r="BN33" s="255"/>
      <c r="BO33" s="255"/>
      <c r="BP33" s="255"/>
      <c r="BQ33" s="257"/>
      <c r="BR33" s="262"/>
      <c r="BS33" s="255"/>
      <c r="BT33" s="255"/>
      <c r="BU33" s="255"/>
      <c r="BV33" s="255"/>
      <c r="BW33" s="255"/>
      <c r="BX33" s="255"/>
      <c r="BY33" s="255"/>
      <c r="BZ33" s="255"/>
      <c r="CA33" s="257"/>
      <c r="CB33" s="262"/>
      <c r="CC33" s="255"/>
      <c r="CD33" s="255"/>
      <c r="CE33" s="255"/>
      <c r="CF33" s="255"/>
      <c r="CG33" s="255"/>
      <c r="CH33" s="255"/>
      <c r="CI33" s="255"/>
      <c r="CJ33" s="255"/>
      <c r="CK33" s="257"/>
      <c r="CL33" s="262"/>
      <c r="CM33" s="255"/>
      <c r="CN33" s="255"/>
      <c r="CO33" s="255"/>
      <c r="CP33" s="255"/>
      <c r="CQ33" s="255"/>
      <c r="CR33" s="255"/>
      <c r="CS33" s="255"/>
      <c r="CT33" s="255"/>
      <c r="CU33" s="257"/>
      <c r="CV33" s="262"/>
      <c r="CW33" s="255"/>
      <c r="CX33" s="255"/>
      <c r="CY33" s="255"/>
      <c r="CZ33" s="255"/>
      <c r="DA33" s="255"/>
      <c r="DB33" s="255"/>
      <c r="DC33" s="255"/>
      <c r="DD33" s="255"/>
      <c r="DE33" s="257"/>
      <c r="DF33" s="262"/>
      <c r="DG33" s="255"/>
      <c r="DH33" s="255"/>
      <c r="DI33" s="255"/>
      <c r="DJ33" s="255"/>
      <c r="DK33" s="255"/>
      <c r="DL33" s="255"/>
      <c r="DM33" s="255"/>
      <c r="DN33" s="255"/>
      <c r="DO33" s="257"/>
      <c r="DP33" s="262"/>
      <c r="DQ33" s="255"/>
      <c r="DR33" s="255"/>
      <c r="DS33" s="255"/>
      <c r="DT33" s="255"/>
      <c r="DU33" s="255"/>
      <c r="DV33" s="255"/>
      <c r="DW33" s="255"/>
      <c r="DX33" s="255"/>
      <c r="DY33" s="257"/>
      <c r="DZ33" s="262"/>
      <c r="EA33" s="255"/>
      <c r="EB33" s="255"/>
      <c r="EC33" s="255"/>
      <c r="ED33" s="255"/>
      <c r="EE33" s="255"/>
      <c r="EF33" s="255"/>
      <c r="EG33" s="255"/>
      <c r="EH33" s="255"/>
      <c r="EI33" s="257"/>
      <c r="EJ33" s="262"/>
      <c r="EK33" s="255"/>
      <c r="EL33" s="255"/>
      <c r="EM33" s="255"/>
      <c r="EN33" s="255"/>
      <c r="EO33" s="255"/>
      <c r="EP33" s="255"/>
      <c r="EQ33" s="255"/>
      <c r="ER33" s="255"/>
      <c r="ES33" s="257"/>
      <c r="ET33" s="262"/>
      <c r="EU33" s="255"/>
      <c r="EV33" s="255"/>
      <c r="EW33" s="255"/>
      <c r="EX33" s="255"/>
      <c r="EY33" s="255"/>
      <c r="EZ33" s="255"/>
      <c r="FA33" s="255"/>
      <c r="FB33" s="255"/>
      <c r="FC33" s="257"/>
      <c r="FD33" s="262"/>
      <c r="FE33" s="255"/>
      <c r="FF33" s="255"/>
      <c r="FG33" s="255"/>
      <c r="FH33" s="255"/>
      <c r="FI33" s="255"/>
      <c r="FJ33" s="255"/>
      <c r="FK33" s="255"/>
      <c r="FL33" s="255"/>
      <c r="FM33" s="257"/>
      <c r="FN33" s="262"/>
      <c r="FO33" s="255"/>
      <c r="FP33" s="255"/>
      <c r="FQ33" s="255"/>
      <c r="FR33" s="255"/>
      <c r="FS33" s="255"/>
      <c r="FT33" s="255"/>
      <c r="FU33" s="255"/>
      <c r="FV33" s="255"/>
      <c r="FW33" s="257"/>
    </row>
    <row r="34" spans="2:179" ht="13.5" hidden="1" customHeight="1">
      <c r="B34" s="481" t="s">
        <v>847</v>
      </c>
      <c r="C34" s="482"/>
      <c r="D34" s="482"/>
      <c r="E34" s="482"/>
      <c r="F34" s="258"/>
      <c r="G34" s="258"/>
      <c r="H34" s="259"/>
      <c r="I34" s="260"/>
      <c r="J34" s="251"/>
      <c r="K34" s="261"/>
      <c r="L34" s="255"/>
      <c r="M34" s="255"/>
      <c r="N34" s="255"/>
      <c r="O34" s="255"/>
      <c r="P34" s="255"/>
      <c r="Q34" s="255"/>
      <c r="R34" s="255"/>
      <c r="S34" s="255"/>
      <c r="T34" s="262"/>
      <c r="U34" s="255"/>
      <c r="V34" s="255"/>
      <c r="W34" s="255"/>
      <c r="X34" s="255"/>
      <c r="Y34" s="255"/>
      <c r="Z34" s="255"/>
      <c r="AA34" s="255"/>
      <c r="AB34" s="255"/>
      <c r="AC34" s="257"/>
      <c r="AD34" s="262"/>
      <c r="AE34" s="255"/>
      <c r="AF34" s="255"/>
      <c r="AG34" s="255"/>
      <c r="AH34" s="255"/>
      <c r="AI34" s="255"/>
      <c r="AJ34" s="255"/>
      <c r="AK34" s="255"/>
      <c r="AL34" s="255"/>
      <c r="AM34" s="257"/>
      <c r="AN34" s="262"/>
      <c r="AO34" s="255"/>
      <c r="AP34" s="255"/>
      <c r="AQ34" s="255"/>
      <c r="AR34" s="255"/>
      <c r="AS34" s="255"/>
      <c r="AT34" s="255"/>
      <c r="AU34" s="255"/>
      <c r="AV34" s="255"/>
      <c r="AW34" s="257"/>
      <c r="AX34" s="262"/>
      <c r="AY34" s="255"/>
      <c r="AZ34" s="255"/>
      <c r="BA34" s="255"/>
      <c r="BB34" s="255"/>
      <c r="BC34" s="255"/>
      <c r="BD34" s="255"/>
      <c r="BE34" s="255"/>
      <c r="BF34" s="255"/>
      <c r="BG34" s="257"/>
      <c r="BH34" s="262"/>
      <c r="BI34" s="255"/>
      <c r="BJ34" s="255"/>
      <c r="BK34" s="255"/>
      <c r="BL34" s="255"/>
      <c r="BM34" s="255"/>
      <c r="BN34" s="255"/>
      <c r="BO34" s="255"/>
      <c r="BP34" s="255"/>
      <c r="BQ34" s="257"/>
      <c r="BR34" s="262"/>
      <c r="BS34" s="255"/>
      <c r="BT34" s="255"/>
      <c r="BU34" s="255"/>
      <c r="BV34" s="255"/>
      <c r="BW34" s="255"/>
      <c r="BX34" s="255"/>
      <c r="BY34" s="255"/>
      <c r="BZ34" s="255"/>
      <c r="CA34" s="257"/>
      <c r="CB34" s="262"/>
      <c r="CC34" s="255"/>
      <c r="CD34" s="255"/>
      <c r="CE34" s="255"/>
      <c r="CF34" s="255"/>
      <c r="CG34" s="255"/>
      <c r="CH34" s="255"/>
      <c r="CI34" s="255"/>
      <c r="CJ34" s="255"/>
      <c r="CK34" s="257"/>
      <c r="CL34" s="262"/>
      <c r="CM34" s="255"/>
      <c r="CN34" s="255"/>
      <c r="CO34" s="255"/>
      <c r="CP34" s="255"/>
      <c r="CQ34" s="255"/>
      <c r="CR34" s="255"/>
      <c r="CS34" s="255"/>
      <c r="CT34" s="255"/>
      <c r="CU34" s="257"/>
      <c r="CV34" s="262"/>
      <c r="CW34" s="255"/>
      <c r="CX34" s="255"/>
      <c r="CY34" s="255"/>
      <c r="CZ34" s="255"/>
      <c r="DA34" s="255"/>
      <c r="DB34" s="255"/>
      <c r="DC34" s="255"/>
      <c r="DD34" s="255"/>
      <c r="DE34" s="257"/>
      <c r="DF34" s="262"/>
      <c r="DG34" s="255"/>
      <c r="DH34" s="255"/>
      <c r="DI34" s="255"/>
      <c r="DJ34" s="255"/>
      <c r="DK34" s="255"/>
      <c r="DL34" s="255"/>
      <c r="DM34" s="255"/>
      <c r="DN34" s="255"/>
      <c r="DO34" s="257"/>
      <c r="DP34" s="262"/>
      <c r="DQ34" s="255"/>
      <c r="DR34" s="255"/>
      <c r="DS34" s="255"/>
      <c r="DT34" s="255"/>
      <c r="DU34" s="255"/>
      <c r="DV34" s="255"/>
      <c r="DW34" s="255"/>
      <c r="DX34" s="255"/>
      <c r="DY34" s="257"/>
      <c r="DZ34" s="262"/>
      <c r="EA34" s="255"/>
      <c r="EB34" s="255"/>
      <c r="EC34" s="255"/>
      <c r="ED34" s="255"/>
      <c r="EE34" s="255"/>
      <c r="EF34" s="255"/>
      <c r="EG34" s="255"/>
      <c r="EH34" s="255"/>
      <c r="EI34" s="257"/>
      <c r="EJ34" s="262"/>
      <c r="EK34" s="255"/>
      <c r="EL34" s="255"/>
      <c r="EM34" s="255"/>
      <c r="EN34" s="255"/>
      <c r="EO34" s="255"/>
      <c r="EP34" s="255"/>
      <c r="EQ34" s="255"/>
      <c r="ER34" s="255"/>
      <c r="ES34" s="257"/>
      <c r="ET34" s="262"/>
      <c r="EU34" s="255"/>
      <c r="EV34" s="255"/>
      <c r="EW34" s="255"/>
      <c r="EX34" s="255"/>
      <c r="EY34" s="255"/>
      <c r="EZ34" s="255"/>
      <c r="FA34" s="255"/>
      <c r="FB34" s="255"/>
      <c r="FC34" s="257"/>
      <c r="FD34" s="262"/>
      <c r="FE34" s="255"/>
      <c r="FF34" s="255"/>
      <c r="FG34" s="255"/>
      <c r="FH34" s="255"/>
      <c r="FI34" s="255"/>
      <c r="FJ34" s="255"/>
      <c r="FK34" s="255"/>
      <c r="FL34" s="255"/>
      <c r="FM34" s="257"/>
      <c r="FN34" s="262"/>
      <c r="FO34" s="255"/>
      <c r="FP34" s="255"/>
      <c r="FQ34" s="255"/>
      <c r="FR34" s="255"/>
      <c r="FS34" s="255"/>
      <c r="FT34" s="255"/>
      <c r="FU34" s="255"/>
      <c r="FV34" s="255"/>
      <c r="FW34" s="257"/>
    </row>
    <row r="35" spans="2:179">
      <c r="B35" s="473" t="s">
        <v>112</v>
      </c>
      <c r="C35" s="474"/>
      <c r="D35" s="474"/>
      <c r="E35" s="474"/>
      <c r="F35" s="263">
        <f>SUM(F7:F34)</f>
        <v>99</v>
      </c>
      <c r="G35" s="263">
        <f>SUM(G7:G34)</f>
        <v>168.4</v>
      </c>
      <c r="H35" s="264" t="s">
        <v>847</v>
      </c>
      <c r="I35" s="265" t="s">
        <v>847</v>
      </c>
      <c r="J35" s="266"/>
      <c r="K35" s="267"/>
      <c r="L35" s="268"/>
      <c r="M35" s="268"/>
      <c r="N35" s="268"/>
      <c r="O35" s="268"/>
      <c r="P35" s="268"/>
      <c r="Q35" s="268"/>
      <c r="R35" s="268"/>
      <c r="S35" s="268"/>
      <c r="T35" s="273"/>
      <c r="U35" s="268"/>
      <c r="V35" s="268"/>
      <c r="W35" s="268"/>
      <c r="X35" s="268"/>
      <c r="Y35" s="268"/>
      <c r="Z35" s="268"/>
      <c r="AA35" s="268"/>
      <c r="AB35" s="268"/>
      <c r="AC35" s="272"/>
      <c r="AD35" s="273"/>
      <c r="AE35" s="268"/>
      <c r="AF35" s="268"/>
      <c r="AG35" s="268"/>
      <c r="AH35" s="268"/>
      <c r="AI35" s="268"/>
      <c r="AJ35" s="268"/>
      <c r="AK35" s="268"/>
      <c r="AL35" s="268"/>
      <c r="AM35" s="272"/>
      <c r="AN35" s="273"/>
      <c r="AO35" s="268"/>
      <c r="AP35" s="268"/>
      <c r="AQ35" s="268"/>
      <c r="AR35" s="268"/>
      <c r="AS35" s="268"/>
      <c r="AT35" s="268"/>
      <c r="AU35" s="268"/>
      <c r="AV35" s="268"/>
      <c r="AW35" s="272"/>
      <c r="AX35" s="273"/>
      <c r="AY35" s="268"/>
      <c r="AZ35" s="268"/>
      <c r="BA35" s="268"/>
      <c r="BB35" s="268"/>
      <c r="BC35" s="268"/>
      <c r="BD35" s="268"/>
      <c r="BE35" s="268"/>
      <c r="BF35" s="268"/>
      <c r="BG35" s="272"/>
      <c r="BH35" s="273"/>
      <c r="BI35" s="268"/>
      <c r="BJ35" s="268"/>
      <c r="BK35" s="268"/>
      <c r="BL35" s="268"/>
      <c r="BM35" s="268"/>
      <c r="BN35" s="268"/>
      <c r="BO35" s="268"/>
      <c r="BP35" s="268"/>
      <c r="BQ35" s="272"/>
      <c r="BR35" s="273"/>
      <c r="BS35" s="268"/>
      <c r="BT35" s="268"/>
      <c r="BU35" s="268"/>
      <c r="BV35" s="268"/>
      <c r="BW35" s="268"/>
      <c r="BX35" s="268"/>
      <c r="BY35" s="268"/>
      <c r="BZ35" s="268"/>
      <c r="CA35" s="272"/>
      <c r="CB35" s="273"/>
      <c r="CC35" s="268"/>
      <c r="CD35" s="268"/>
      <c r="CE35" s="268"/>
      <c r="CF35" s="268"/>
      <c r="CG35" s="268"/>
      <c r="CH35" s="268"/>
      <c r="CI35" s="268"/>
      <c r="CJ35" s="268"/>
      <c r="CK35" s="272"/>
      <c r="CL35" s="273"/>
      <c r="CM35" s="268"/>
      <c r="CN35" s="268"/>
      <c r="CO35" s="268"/>
      <c r="CP35" s="268"/>
      <c r="CQ35" s="268"/>
      <c r="CR35" s="268"/>
      <c r="CS35" s="268"/>
      <c r="CT35" s="268"/>
      <c r="CU35" s="272"/>
      <c r="CV35" s="273"/>
      <c r="CW35" s="268"/>
      <c r="CX35" s="268"/>
      <c r="CY35" s="268"/>
      <c r="CZ35" s="268"/>
      <c r="DA35" s="268"/>
      <c r="DB35" s="268"/>
      <c r="DC35" s="268"/>
      <c r="DD35" s="268"/>
      <c r="DE35" s="272"/>
      <c r="DF35" s="273"/>
      <c r="DG35" s="268"/>
      <c r="DH35" s="268"/>
      <c r="DI35" s="268"/>
      <c r="DJ35" s="268"/>
      <c r="DK35" s="268"/>
      <c r="DL35" s="268"/>
      <c r="DM35" s="268"/>
      <c r="DN35" s="268"/>
      <c r="DO35" s="272"/>
      <c r="DP35" s="273"/>
      <c r="DQ35" s="268"/>
      <c r="DR35" s="268"/>
      <c r="DS35" s="268"/>
      <c r="DT35" s="268"/>
      <c r="DU35" s="268"/>
      <c r="DV35" s="268"/>
      <c r="DW35" s="268"/>
      <c r="DX35" s="268"/>
      <c r="DY35" s="272"/>
      <c r="DZ35" s="273"/>
      <c r="EA35" s="268"/>
      <c r="EB35" s="268"/>
      <c r="EC35" s="268"/>
      <c r="ED35" s="268"/>
      <c r="EE35" s="268"/>
      <c r="EF35" s="268"/>
      <c r="EG35" s="268"/>
      <c r="EH35" s="268"/>
      <c r="EI35" s="272"/>
      <c r="EJ35" s="273"/>
      <c r="EK35" s="268"/>
      <c r="EL35" s="268"/>
      <c r="EM35" s="268"/>
      <c r="EN35" s="268"/>
      <c r="EO35" s="268"/>
      <c r="EP35" s="268"/>
      <c r="EQ35" s="268"/>
      <c r="ER35" s="268"/>
      <c r="ES35" s="272"/>
      <c r="ET35" s="273"/>
      <c r="EU35" s="268"/>
      <c r="EV35" s="268"/>
      <c r="EW35" s="268"/>
      <c r="EX35" s="268"/>
      <c r="EY35" s="268"/>
      <c r="EZ35" s="268"/>
      <c r="FA35" s="268"/>
      <c r="FB35" s="268"/>
      <c r="FC35" s="272"/>
      <c r="FD35" s="273"/>
      <c r="FE35" s="268"/>
      <c r="FF35" s="268"/>
      <c r="FG35" s="268"/>
      <c r="FH35" s="268"/>
      <c r="FI35" s="268"/>
      <c r="FJ35" s="268"/>
      <c r="FK35" s="268"/>
      <c r="FL35" s="268"/>
      <c r="FM35" s="272"/>
      <c r="FN35" s="273"/>
      <c r="FO35" s="268"/>
      <c r="FP35" s="268"/>
      <c r="FQ35" s="268"/>
      <c r="FR35" s="268"/>
      <c r="FS35" s="268"/>
      <c r="FT35" s="268"/>
      <c r="FU35" s="268"/>
      <c r="FV35" s="268"/>
      <c r="FW35" s="272"/>
    </row>
    <row r="36" spans="2:179" ht="14.25" thickBot="1">
      <c r="B36" s="475"/>
      <c r="C36" s="476"/>
      <c r="D36" s="476"/>
      <c r="E36" s="476"/>
      <c r="F36" s="280"/>
      <c r="G36" s="280"/>
      <c r="H36" s="281"/>
      <c r="I36" s="282"/>
      <c r="J36" s="251"/>
      <c r="K36" s="261"/>
      <c r="L36" s="255"/>
      <c r="M36" s="255"/>
      <c r="N36" s="255"/>
      <c r="O36" s="255"/>
      <c r="P36" s="255"/>
      <c r="Q36" s="255"/>
      <c r="R36" s="255"/>
      <c r="S36" s="255"/>
      <c r="T36" s="262"/>
      <c r="U36" s="255"/>
      <c r="V36" s="255"/>
      <c r="W36" s="255"/>
      <c r="X36" s="255"/>
      <c r="Y36" s="255"/>
      <c r="Z36" s="255"/>
      <c r="AA36" s="255"/>
      <c r="AB36" s="255"/>
      <c r="AC36" s="257"/>
      <c r="AD36" s="262"/>
      <c r="AE36" s="255"/>
      <c r="AF36" s="255"/>
      <c r="AG36" s="255"/>
      <c r="AH36" s="255"/>
      <c r="AI36" s="255"/>
      <c r="AJ36" s="255"/>
      <c r="AK36" s="255"/>
      <c r="AL36" s="255"/>
      <c r="AM36" s="257"/>
      <c r="AN36" s="262"/>
      <c r="AO36" s="255"/>
      <c r="AP36" s="255"/>
      <c r="AQ36" s="255"/>
      <c r="AR36" s="255"/>
      <c r="AS36" s="255"/>
      <c r="AT36" s="255"/>
      <c r="AU36" s="255"/>
      <c r="AV36" s="255"/>
      <c r="AW36" s="257"/>
      <c r="AX36" s="262"/>
      <c r="AY36" s="255"/>
      <c r="AZ36" s="255"/>
      <c r="BA36" s="255"/>
      <c r="BB36" s="255"/>
      <c r="BC36" s="255"/>
      <c r="BD36" s="255"/>
      <c r="BE36" s="255"/>
      <c r="BF36" s="255"/>
      <c r="BG36" s="257"/>
      <c r="BH36" s="262"/>
      <c r="BI36" s="255"/>
      <c r="BJ36" s="255"/>
      <c r="BK36" s="255"/>
      <c r="BL36" s="255"/>
      <c r="BM36" s="255"/>
      <c r="BN36" s="255"/>
      <c r="BO36" s="255"/>
      <c r="BP36" s="255"/>
      <c r="BQ36" s="257"/>
      <c r="BR36" s="262"/>
      <c r="BS36" s="255"/>
      <c r="BT36" s="255"/>
      <c r="BU36" s="255"/>
      <c r="BV36" s="255"/>
      <c r="BW36" s="255"/>
      <c r="BX36" s="255"/>
      <c r="BY36" s="255"/>
      <c r="BZ36" s="255"/>
      <c r="CA36" s="257"/>
      <c r="CB36" s="262"/>
      <c r="CC36" s="255"/>
      <c r="CD36" s="255"/>
      <c r="CE36" s="255"/>
      <c r="CF36" s="255"/>
      <c r="CG36" s="255"/>
      <c r="CH36" s="255"/>
      <c r="CI36" s="255"/>
      <c r="CJ36" s="255"/>
      <c r="CK36" s="257"/>
      <c r="CL36" s="262"/>
      <c r="CM36" s="255"/>
      <c r="CN36" s="255"/>
      <c r="CO36" s="255"/>
      <c r="CP36" s="255"/>
      <c r="CQ36" s="255"/>
      <c r="CR36" s="255"/>
      <c r="CS36" s="255"/>
      <c r="CT36" s="255"/>
      <c r="CU36" s="257"/>
      <c r="CV36" s="262"/>
      <c r="CW36" s="255"/>
      <c r="CX36" s="255"/>
      <c r="CY36" s="255"/>
      <c r="CZ36" s="255"/>
      <c r="DA36" s="255"/>
      <c r="DB36" s="255"/>
      <c r="DC36" s="255"/>
      <c r="DD36" s="255"/>
      <c r="DE36" s="257"/>
      <c r="DF36" s="262"/>
      <c r="DG36" s="255"/>
      <c r="DH36" s="255"/>
      <c r="DI36" s="255"/>
      <c r="DJ36" s="255"/>
      <c r="DK36" s="255"/>
      <c r="DL36" s="255"/>
      <c r="DM36" s="255"/>
      <c r="DN36" s="255"/>
      <c r="DO36" s="257"/>
      <c r="DP36" s="262"/>
      <c r="DQ36" s="255"/>
      <c r="DR36" s="255"/>
      <c r="DS36" s="255"/>
      <c r="DT36" s="255"/>
      <c r="DU36" s="255"/>
      <c r="DV36" s="255"/>
      <c r="DW36" s="255"/>
      <c r="DX36" s="255"/>
      <c r="DY36" s="257"/>
      <c r="DZ36" s="262"/>
      <c r="EA36" s="255"/>
      <c r="EB36" s="255"/>
      <c r="EC36" s="255"/>
      <c r="ED36" s="255"/>
      <c r="EE36" s="255"/>
      <c r="EF36" s="255"/>
      <c r="EG36" s="255"/>
      <c r="EH36" s="255"/>
      <c r="EI36" s="257"/>
      <c r="EJ36" s="262"/>
      <c r="EK36" s="255"/>
      <c r="EL36" s="255"/>
      <c r="EM36" s="255"/>
      <c r="EN36" s="255"/>
      <c r="EO36" s="255"/>
      <c r="EP36" s="255"/>
      <c r="EQ36" s="255"/>
      <c r="ER36" s="255"/>
      <c r="ES36" s="257"/>
      <c r="ET36" s="262"/>
      <c r="EU36" s="255"/>
      <c r="EV36" s="255"/>
      <c r="EW36" s="255"/>
      <c r="EX36" s="255"/>
      <c r="EY36" s="255"/>
      <c r="EZ36" s="255"/>
      <c r="FA36" s="255"/>
      <c r="FB36" s="255"/>
      <c r="FC36" s="257"/>
      <c r="FD36" s="262"/>
      <c r="FE36" s="255"/>
      <c r="FF36" s="255"/>
      <c r="FG36" s="255"/>
      <c r="FH36" s="255"/>
      <c r="FI36" s="255"/>
      <c r="FJ36" s="255"/>
      <c r="FK36" s="255"/>
      <c r="FL36" s="255"/>
      <c r="FM36" s="257"/>
      <c r="FN36" s="262"/>
      <c r="FO36" s="255"/>
      <c r="FP36" s="255"/>
      <c r="FQ36" s="255"/>
      <c r="FR36" s="255"/>
      <c r="FS36" s="255"/>
      <c r="FT36" s="255"/>
      <c r="FU36" s="255"/>
      <c r="FV36" s="255"/>
      <c r="FW36" s="257"/>
    </row>
    <row r="37" spans="2:179" ht="15" thickTop="1" thickBot="1">
      <c r="B37" s="477" t="s">
        <v>863</v>
      </c>
      <c r="C37" s="478"/>
      <c r="D37" s="478"/>
      <c r="E37" s="478"/>
      <c r="F37" s="240" t="s">
        <v>852</v>
      </c>
      <c r="G37" s="240" t="s">
        <v>561</v>
      </c>
      <c r="H37" s="241" t="s">
        <v>829</v>
      </c>
      <c r="I37" s="242" t="s">
        <v>847</v>
      </c>
      <c r="J37" s="243"/>
      <c r="K37" s="244"/>
      <c r="L37" s="245"/>
      <c r="M37" s="245"/>
      <c r="N37" s="245"/>
      <c r="O37" s="245"/>
      <c r="P37" s="245"/>
      <c r="Q37" s="245"/>
      <c r="R37" s="245"/>
      <c r="S37" s="245"/>
      <c r="T37" s="246"/>
      <c r="U37" s="245"/>
      <c r="V37" s="245"/>
      <c r="W37" s="245"/>
      <c r="X37" s="245"/>
      <c r="Y37" s="245"/>
      <c r="Z37" s="245"/>
      <c r="AA37" s="245"/>
      <c r="AB37" s="245"/>
      <c r="AC37" s="247"/>
      <c r="AD37" s="246"/>
      <c r="AE37" s="245"/>
      <c r="AF37" s="245"/>
      <c r="AG37" s="245"/>
      <c r="AH37" s="245"/>
      <c r="AI37" s="245"/>
      <c r="AJ37" s="245"/>
      <c r="AK37" s="245"/>
      <c r="AL37" s="245"/>
      <c r="AM37" s="247"/>
      <c r="AN37" s="246"/>
      <c r="AO37" s="245"/>
      <c r="AP37" s="245"/>
      <c r="AQ37" s="245"/>
      <c r="AR37" s="245"/>
      <c r="AS37" s="245"/>
      <c r="AT37" s="245"/>
      <c r="AU37" s="245"/>
      <c r="AV37" s="245"/>
      <c r="AW37" s="247"/>
      <c r="AX37" s="246"/>
      <c r="AY37" s="245"/>
      <c r="AZ37" s="245"/>
      <c r="BA37" s="245"/>
      <c r="BB37" s="245"/>
      <c r="BC37" s="245"/>
      <c r="BD37" s="245"/>
      <c r="BE37" s="245"/>
      <c r="BF37" s="245"/>
      <c r="BG37" s="247"/>
      <c r="BH37" s="246"/>
      <c r="BI37" s="245"/>
      <c r="BJ37" s="245"/>
      <c r="BK37" s="245"/>
      <c r="BL37" s="245"/>
      <c r="BM37" s="245"/>
      <c r="BN37" s="245"/>
      <c r="BO37" s="245"/>
      <c r="BP37" s="245"/>
      <c r="BQ37" s="247"/>
      <c r="BR37" s="246"/>
      <c r="BS37" s="245"/>
      <c r="BT37" s="245"/>
      <c r="BU37" s="245"/>
      <c r="BV37" s="245"/>
      <c r="BW37" s="245"/>
      <c r="BX37" s="245"/>
      <c r="BY37" s="245"/>
      <c r="BZ37" s="245"/>
      <c r="CA37" s="247"/>
      <c r="CB37" s="246"/>
      <c r="CC37" s="245"/>
      <c r="CD37" s="245"/>
      <c r="CE37" s="245"/>
      <c r="CF37" s="245"/>
      <c r="CG37" s="245"/>
      <c r="CH37" s="245"/>
      <c r="CI37" s="245"/>
      <c r="CJ37" s="245"/>
      <c r="CK37" s="247"/>
      <c r="CL37" s="246"/>
      <c r="CM37" s="245"/>
      <c r="CN37" s="245"/>
      <c r="CO37" s="245"/>
      <c r="CP37" s="245"/>
      <c r="CQ37" s="245"/>
      <c r="CR37" s="245"/>
      <c r="CS37" s="245"/>
      <c r="CT37" s="245"/>
      <c r="CU37" s="247"/>
      <c r="CV37" s="246"/>
      <c r="CW37" s="245"/>
      <c r="CX37" s="245"/>
      <c r="CY37" s="245"/>
      <c r="CZ37" s="245"/>
      <c r="DA37" s="245"/>
      <c r="DB37" s="245"/>
      <c r="DC37" s="245"/>
      <c r="DD37" s="245"/>
      <c r="DE37" s="247"/>
      <c r="DF37" s="246"/>
      <c r="DG37" s="245"/>
      <c r="DH37" s="245"/>
      <c r="DI37" s="245"/>
      <c r="DJ37" s="245"/>
      <c r="DK37" s="245"/>
      <c r="DL37" s="245"/>
      <c r="DM37" s="245"/>
      <c r="DN37" s="245"/>
      <c r="DO37" s="247"/>
      <c r="DP37" s="246"/>
      <c r="DQ37" s="245"/>
      <c r="DR37" s="245"/>
      <c r="DS37" s="245"/>
      <c r="DT37" s="245"/>
      <c r="DU37" s="245"/>
      <c r="DV37" s="245"/>
      <c r="DW37" s="245"/>
      <c r="DX37" s="245"/>
      <c r="DY37" s="247"/>
      <c r="DZ37" s="246"/>
      <c r="EA37" s="245"/>
      <c r="EB37" s="245"/>
      <c r="EC37" s="245"/>
      <c r="ED37" s="245"/>
      <c r="EE37" s="245"/>
      <c r="EF37" s="245"/>
      <c r="EG37" s="245"/>
      <c r="EH37" s="245"/>
      <c r="EI37" s="247"/>
      <c r="EJ37" s="246"/>
      <c r="EK37" s="245"/>
      <c r="EL37" s="245"/>
      <c r="EM37" s="245"/>
      <c r="EN37" s="245"/>
      <c r="EO37" s="245"/>
      <c r="EP37" s="245"/>
      <c r="EQ37" s="245"/>
      <c r="ER37" s="245"/>
      <c r="ES37" s="247"/>
      <c r="ET37" s="246"/>
      <c r="EU37" s="245"/>
      <c r="EV37" s="245"/>
      <c r="EW37" s="245"/>
      <c r="EX37" s="245"/>
      <c r="EY37" s="245"/>
      <c r="EZ37" s="245"/>
      <c r="FA37" s="245"/>
      <c r="FB37" s="245"/>
      <c r="FC37" s="247"/>
      <c r="FD37" s="246"/>
      <c r="FE37" s="245"/>
      <c r="FF37" s="245"/>
      <c r="FG37" s="245"/>
      <c r="FH37" s="245"/>
      <c r="FI37" s="245"/>
      <c r="FJ37" s="245"/>
      <c r="FK37" s="245"/>
      <c r="FL37" s="245"/>
      <c r="FM37" s="247"/>
      <c r="FN37" s="246"/>
      <c r="FO37" s="245"/>
      <c r="FP37" s="245"/>
      <c r="FQ37" s="245"/>
      <c r="FR37" s="245"/>
      <c r="FS37" s="245"/>
      <c r="FT37" s="245"/>
      <c r="FU37" s="245"/>
      <c r="FV37" s="245"/>
      <c r="FW37" s="247"/>
    </row>
    <row r="38" spans="2:179" ht="15" thickTop="1" thickBot="1">
      <c r="B38" s="479" t="s">
        <v>864</v>
      </c>
      <c r="C38" s="479"/>
      <c r="D38" s="479"/>
      <c r="E38" s="480"/>
      <c r="F38" s="248">
        <f>F7+F9+F11+F15+F21+F23</f>
        <v>57.9</v>
      </c>
      <c r="G38" s="248">
        <f>G7+G9+G11+G15+G21+G23</f>
        <v>98.499999999999986</v>
      </c>
      <c r="H38" s="249" t="s">
        <v>847</v>
      </c>
      <c r="I38" s="250" t="s">
        <v>829</v>
      </c>
      <c r="J38" s="251"/>
      <c r="K38" s="252"/>
      <c r="L38" s="253"/>
      <c r="M38" s="253"/>
      <c r="N38" s="253"/>
      <c r="O38" s="253"/>
      <c r="P38" s="254"/>
      <c r="Q38" s="254"/>
      <c r="R38" s="254"/>
      <c r="S38" s="254"/>
      <c r="T38" s="283"/>
      <c r="U38" s="254"/>
      <c r="V38" s="254"/>
      <c r="W38" s="254"/>
      <c r="X38" s="254"/>
      <c r="Y38" s="254"/>
      <c r="Z38" s="254"/>
      <c r="AA38" s="254"/>
      <c r="AB38" s="254"/>
      <c r="AC38" s="284"/>
      <c r="AD38" s="283"/>
      <c r="AE38" s="254"/>
      <c r="AF38" s="254"/>
      <c r="AG38" s="254"/>
      <c r="AH38" s="254"/>
      <c r="AI38" s="254"/>
      <c r="AJ38" s="254"/>
      <c r="AK38" s="254"/>
      <c r="AL38" s="254"/>
      <c r="AM38" s="284"/>
      <c r="AN38" s="283"/>
      <c r="AO38" s="254"/>
      <c r="AP38" s="254"/>
      <c r="AQ38" s="254"/>
      <c r="AR38" s="254"/>
      <c r="AS38" s="254"/>
      <c r="AT38" s="254"/>
      <c r="AU38" s="254"/>
      <c r="AV38" s="254"/>
      <c r="AW38" s="284"/>
      <c r="AX38" s="283"/>
      <c r="AY38" s="254"/>
      <c r="AZ38" s="254"/>
      <c r="BA38" s="254"/>
      <c r="BB38" s="254"/>
      <c r="BC38" s="254"/>
      <c r="BD38" s="254"/>
      <c r="BE38" s="254"/>
      <c r="BF38" s="254"/>
      <c r="BG38" s="284"/>
      <c r="BH38" s="283"/>
      <c r="BI38" s="254"/>
      <c r="BJ38" s="254"/>
      <c r="BK38" s="254"/>
      <c r="BL38" s="254"/>
      <c r="BM38" s="254"/>
      <c r="BN38" s="254"/>
      <c r="BO38" s="254"/>
      <c r="BP38" s="254"/>
      <c r="BQ38" s="284"/>
      <c r="BR38" s="283"/>
      <c r="BS38" s="254"/>
      <c r="BT38" s="254"/>
      <c r="BU38" s="254"/>
      <c r="BV38" s="254"/>
      <c r="BW38" s="254"/>
      <c r="BX38" s="254"/>
      <c r="BY38" s="254"/>
      <c r="BZ38" s="254"/>
      <c r="CA38" s="284"/>
      <c r="CB38" s="283"/>
      <c r="CC38" s="254"/>
      <c r="CD38" s="254"/>
      <c r="CE38" s="254"/>
      <c r="CF38" s="254"/>
      <c r="CG38" s="254"/>
      <c r="CH38" s="254"/>
      <c r="CI38" s="254"/>
      <c r="CJ38" s="254"/>
      <c r="CK38" s="284"/>
      <c r="CL38" s="283"/>
      <c r="CM38" s="254"/>
      <c r="CN38" s="254"/>
      <c r="CO38" s="254"/>
      <c r="CP38" s="254"/>
      <c r="CQ38" s="254"/>
      <c r="CR38" s="254"/>
      <c r="CS38" s="254"/>
      <c r="CT38" s="254"/>
      <c r="CU38" s="284"/>
      <c r="CV38" s="283"/>
      <c r="CW38" s="254"/>
      <c r="CX38" s="254"/>
      <c r="CY38" s="254"/>
      <c r="CZ38" s="254"/>
      <c r="DA38" s="254"/>
      <c r="DB38" s="254"/>
      <c r="DC38" s="254"/>
      <c r="DD38" s="254"/>
      <c r="DE38" s="284"/>
      <c r="DF38" s="283"/>
      <c r="DG38" s="254"/>
      <c r="DH38" s="254"/>
      <c r="DI38" s="254"/>
      <c r="DJ38" s="254"/>
      <c r="DK38" s="254"/>
      <c r="DL38" s="254"/>
      <c r="DM38" s="254"/>
      <c r="DN38" s="254"/>
      <c r="DO38" s="284"/>
      <c r="DP38" s="283"/>
      <c r="DQ38" s="254"/>
      <c r="DR38" s="254"/>
      <c r="DS38" s="254"/>
      <c r="DT38" s="254"/>
      <c r="DU38" s="254"/>
      <c r="DV38" s="254"/>
      <c r="DW38" s="254"/>
      <c r="DX38" s="254"/>
      <c r="DY38" s="284"/>
      <c r="DZ38" s="283"/>
      <c r="EA38" s="254"/>
      <c r="EB38" s="254"/>
      <c r="EC38" s="254"/>
      <c r="ED38" s="254"/>
      <c r="EE38" s="254"/>
      <c r="EF38" s="254"/>
      <c r="EG38" s="254"/>
      <c r="EH38" s="254"/>
      <c r="EI38" s="284"/>
      <c r="EJ38" s="283"/>
      <c r="EK38" s="254"/>
      <c r="EL38" s="254"/>
      <c r="EM38" s="253"/>
      <c r="EN38" s="253"/>
      <c r="EO38" s="253"/>
      <c r="EP38" s="253"/>
      <c r="EQ38" s="253"/>
      <c r="ER38" s="253"/>
      <c r="ES38" s="285"/>
      <c r="ET38" s="256"/>
      <c r="EU38" s="253"/>
      <c r="EV38" s="253"/>
      <c r="EW38" s="253"/>
      <c r="EX38" s="253"/>
      <c r="EY38" s="253"/>
      <c r="EZ38" s="253"/>
      <c r="FA38" s="253"/>
      <c r="FB38" s="253"/>
      <c r="FC38" s="285"/>
      <c r="FD38" s="256"/>
      <c r="FE38" s="253"/>
      <c r="FF38" s="253"/>
      <c r="FG38" s="253"/>
      <c r="FH38" s="253"/>
      <c r="FI38" s="253"/>
      <c r="FJ38" s="253"/>
      <c r="FK38" s="253"/>
      <c r="FL38" s="253"/>
      <c r="FM38" s="285"/>
      <c r="FN38" s="256"/>
      <c r="FO38" s="253"/>
      <c r="FP38" s="253"/>
      <c r="FQ38" s="253"/>
      <c r="FR38" s="253"/>
      <c r="FS38" s="253"/>
      <c r="FT38" s="253"/>
      <c r="FU38" s="253"/>
      <c r="FV38" s="253"/>
      <c r="FW38" s="285"/>
    </row>
    <row r="39" spans="2:179">
      <c r="B39" s="467"/>
      <c r="C39" s="467"/>
      <c r="D39" s="467"/>
      <c r="E39" s="468"/>
      <c r="F39" s="258"/>
      <c r="G39" s="258"/>
      <c r="H39" s="259"/>
      <c r="I39" s="260"/>
      <c r="J39" s="251"/>
      <c r="K39" s="261"/>
      <c r="L39" s="255"/>
      <c r="M39" s="255"/>
      <c r="N39" s="255"/>
      <c r="O39" s="255"/>
      <c r="P39" s="255"/>
      <c r="Q39" s="255"/>
      <c r="R39" s="255"/>
      <c r="S39" s="255"/>
      <c r="T39" s="262"/>
      <c r="U39" s="255"/>
      <c r="V39" s="255"/>
      <c r="W39" s="255"/>
      <c r="X39" s="255"/>
      <c r="Y39" s="255"/>
      <c r="Z39" s="255"/>
      <c r="AA39" s="255"/>
      <c r="AB39" s="255"/>
      <c r="AC39" s="257"/>
      <c r="AD39" s="262"/>
      <c r="AE39" s="255"/>
      <c r="AF39" s="255"/>
      <c r="AG39" s="255"/>
      <c r="AH39" s="255"/>
      <c r="AI39" s="255"/>
      <c r="AJ39" s="255"/>
      <c r="AK39" s="255"/>
      <c r="AL39" s="255"/>
      <c r="AM39" s="257"/>
      <c r="AN39" s="262"/>
      <c r="AO39" s="255"/>
      <c r="AP39" s="255"/>
      <c r="AQ39" s="255"/>
      <c r="AR39" s="255"/>
      <c r="AS39" s="255"/>
      <c r="AT39" s="255"/>
      <c r="AU39" s="255"/>
      <c r="AV39" s="255"/>
      <c r="AW39" s="257"/>
      <c r="AX39" s="262"/>
      <c r="AY39" s="255"/>
      <c r="AZ39" s="255"/>
      <c r="BA39" s="255"/>
      <c r="BB39" s="255"/>
      <c r="BC39" s="255"/>
      <c r="BD39" s="255"/>
      <c r="BE39" s="255"/>
      <c r="BF39" s="255"/>
      <c r="BG39" s="257"/>
      <c r="BH39" s="262"/>
      <c r="BI39" s="255"/>
      <c r="BJ39" s="255"/>
      <c r="BK39" s="255"/>
      <c r="BL39" s="255"/>
      <c r="BM39" s="255"/>
      <c r="BN39" s="255"/>
      <c r="BO39" s="255"/>
      <c r="BP39" s="255"/>
      <c r="BQ39" s="257"/>
      <c r="BR39" s="262"/>
      <c r="BS39" s="255"/>
      <c r="BT39" s="255"/>
      <c r="BU39" s="255"/>
      <c r="BV39" s="255"/>
      <c r="BW39" s="255"/>
      <c r="BX39" s="255"/>
      <c r="BY39" s="255"/>
      <c r="BZ39" s="255"/>
      <c r="CA39" s="257"/>
      <c r="CB39" s="262"/>
      <c r="CC39" s="255"/>
      <c r="CD39" s="255"/>
      <c r="CE39" s="255"/>
      <c r="CF39" s="255"/>
      <c r="CG39" s="255"/>
      <c r="CH39" s="255"/>
      <c r="CI39" s="255"/>
      <c r="CJ39" s="255"/>
      <c r="CK39" s="257"/>
      <c r="CL39" s="262"/>
      <c r="CM39" s="255"/>
      <c r="CN39" s="255"/>
      <c r="CO39" s="255"/>
      <c r="CP39" s="255"/>
      <c r="CQ39" s="255"/>
      <c r="CR39" s="255"/>
      <c r="CS39" s="255"/>
      <c r="CT39" s="255"/>
      <c r="CU39" s="257"/>
      <c r="CV39" s="262"/>
      <c r="CW39" s="255"/>
      <c r="CX39" s="255"/>
      <c r="CY39" s="255"/>
      <c r="CZ39" s="255"/>
      <c r="DA39" s="255"/>
      <c r="DB39" s="255"/>
      <c r="DC39" s="255"/>
      <c r="DD39" s="255"/>
      <c r="DE39" s="257"/>
      <c r="DF39" s="262"/>
      <c r="DG39" s="255"/>
      <c r="DH39" s="255"/>
      <c r="DI39" s="255"/>
      <c r="DJ39" s="255"/>
      <c r="DK39" s="255"/>
      <c r="DL39" s="255"/>
      <c r="DM39" s="255"/>
      <c r="DN39" s="255"/>
      <c r="DO39" s="257"/>
      <c r="DP39" s="262"/>
      <c r="DQ39" s="255"/>
      <c r="DR39" s="255"/>
      <c r="DS39" s="255"/>
      <c r="DT39" s="255"/>
      <c r="DU39" s="255"/>
      <c r="DV39" s="255"/>
      <c r="DW39" s="255"/>
      <c r="DX39" s="255"/>
      <c r="DY39" s="257"/>
      <c r="DZ39" s="262"/>
      <c r="EA39" s="255"/>
      <c r="EB39" s="255"/>
      <c r="EC39" s="255"/>
      <c r="ED39" s="255"/>
      <c r="EE39" s="255"/>
      <c r="EF39" s="255"/>
      <c r="EG39" s="255"/>
      <c r="EH39" s="255"/>
      <c r="EI39" s="257"/>
      <c r="EJ39" s="262"/>
      <c r="EK39" s="255"/>
      <c r="EL39" s="255"/>
      <c r="EM39" s="255"/>
      <c r="EN39" s="255"/>
      <c r="EO39" s="255"/>
      <c r="EP39" s="255"/>
      <c r="EQ39" s="255"/>
      <c r="ER39" s="255"/>
      <c r="ES39" s="257"/>
      <c r="ET39" s="262"/>
      <c r="EU39" s="255"/>
      <c r="EV39" s="255"/>
      <c r="EW39" s="255"/>
      <c r="EX39" s="255"/>
      <c r="EY39" s="255"/>
      <c r="EZ39" s="255"/>
      <c r="FA39" s="255"/>
      <c r="FB39" s="255"/>
      <c r="FC39" s="257"/>
      <c r="FD39" s="262"/>
      <c r="FE39" s="255"/>
      <c r="FF39" s="255"/>
      <c r="FG39" s="255"/>
      <c r="FH39" s="255"/>
      <c r="FI39" s="255"/>
      <c r="FJ39" s="255"/>
      <c r="FK39" s="255"/>
      <c r="FL39" s="255"/>
      <c r="FM39" s="257"/>
      <c r="FN39" s="262"/>
      <c r="FO39" s="255"/>
      <c r="FP39" s="255"/>
      <c r="FQ39" s="255"/>
      <c r="FR39" s="255"/>
      <c r="FS39" s="255"/>
      <c r="FT39" s="255"/>
      <c r="FU39" s="255"/>
      <c r="FV39" s="255"/>
      <c r="FW39" s="257"/>
    </row>
    <row r="40" spans="2:179" ht="14.25" thickBot="1">
      <c r="B40" s="472" t="s">
        <v>865</v>
      </c>
      <c r="C40" s="472"/>
      <c r="D40" s="472"/>
      <c r="E40" s="469"/>
      <c r="F40" s="263">
        <f>F11+F15+F21+F23</f>
        <v>33.799999999999997</v>
      </c>
      <c r="G40" s="263">
        <f>G11+G15+G21+G23</f>
        <v>57.5</v>
      </c>
      <c r="H40" s="264" t="s">
        <v>847</v>
      </c>
      <c r="I40" s="265" t="s">
        <v>847</v>
      </c>
      <c r="J40" s="266"/>
      <c r="K40" s="267"/>
      <c r="L40" s="268"/>
      <c r="M40" s="268"/>
      <c r="N40" s="268"/>
      <c r="O40" s="268"/>
      <c r="P40" s="268"/>
      <c r="Q40" s="268"/>
      <c r="R40" s="268"/>
      <c r="S40" s="268"/>
      <c r="T40" s="273"/>
      <c r="U40" s="268"/>
      <c r="V40" s="268"/>
      <c r="W40" s="268"/>
      <c r="X40" s="268"/>
      <c r="Y40" s="268"/>
      <c r="Z40" s="268"/>
      <c r="AA40" s="268"/>
      <c r="AB40" s="268"/>
      <c r="AC40" s="272"/>
      <c r="AD40" s="273"/>
      <c r="AE40" s="268"/>
      <c r="AF40" s="268"/>
      <c r="AG40" s="268"/>
      <c r="AH40" s="268"/>
      <c r="AI40" s="268"/>
      <c r="AJ40" s="268"/>
      <c r="AK40" s="268"/>
      <c r="AL40" s="268"/>
      <c r="AM40" s="272"/>
      <c r="AN40" s="273"/>
      <c r="AO40" s="268"/>
      <c r="AP40" s="268"/>
      <c r="AQ40" s="268"/>
      <c r="AR40" s="268"/>
      <c r="AS40" s="268"/>
      <c r="AT40" s="268"/>
      <c r="AU40" s="268"/>
      <c r="AV40" s="268"/>
      <c r="AW40" s="272"/>
      <c r="AX40" s="273"/>
      <c r="AY40" s="268"/>
      <c r="AZ40" s="268"/>
      <c r="BA40" s="268"/>
      <c r="BB40" s="268"/>
      <c r="BC40" s="268"/>
      <c r="BD40" s="268"/>
      <c r="BE40" s="269"/>
      <c r="BF40" s="269"/>
      <c r="BG40" s="271"/>
      <c r="BH40" s="270"/>
      <c r="BI40" s="269"/>
      <c r="BJ40" s="269"/>
      <c r="BK40" s="269"/>
      <c r="BL40" s="269"/>
      <c r="BM40" s="269"/>
      <c r="BN40" s="269"/>
      <c r="BO40" s="269"/>
      <c r="BP40" s="269"/>
      <c r="BQ40" s="271"/>
      <c r="BR40" s="270"/>
      <c r="BS40" s="269"/>
      <c r="BT40" s="269"/>
      <c r="BU40" s="269"/>
      <c r="BV40" s="269"/>
      <c r="BW40" s="269"/>
      <c r="BX40" s="269"/>
      <c r="BY40" s="269"/>
      <c r="BZ40" s="269"/>
      <c r="CA40" s="271"/>
      <c r="CB40" s="270"/>
      <c r="CC40" s="269"/>
      <c r="CD40" s="269"/>
      <c r="CE40" s="269"/>
      <c r="CF40" s="269"/>
      <c r="CG40" s="269"/>
      <c r="CH40" s="269"/>
      <c r="CI40" s="269"/>
      <c r="CJ40" s="269"/>
      <c r="CK40" s="271"/>
      <c r="CL40" s="270"/>
      <c r="CM40" s="269"/>
      <c r="CN40" s="269"/>
      <c r="CO40" s="269"/>
      <c r="CP40" s="269"/>
      <c r="CQ40" s="269"/>
      <c r="CR40" s="269"/>
      <c r="CS40" s="269"/>
      <c r="CT40" s="269"/>
      <c r="CU40" s="271"/>
      <c r="CV40" s="270"/>
      <c r="CW40" s="269"/>
      <c r="CX40" s="269"/>
      <c r="CY40" s="269"/>
      <c r="CZ40" s="269"/>
      <c r="DA40" s="269"/>
      <c r="DB40" s="269"/>
      <c r="DC40" s="269"/>
      <c r="DD40" s="269"/>
      <c r="DE40" s="271"/>
      <c r="DF40" s="270"/>
      <c r="DG40" s="269"/>
      <c r="DH40" s="269"/>
      <c r="DI40" s="269"/>
      <c r="DJ40" s="269"/>
      <c r="DK40" s="269"/>
      <c r="DL40" s="269"/>
      <c r="DM40" s="269"/>
      <c r="DN40" s="269"/>
      <c r="DO40" s="271"/>
      <c r="DP40" s="270"/>
      <c r="DQ40" s="269"/>
      <c r="DR40" s="269"/>
      <c r="DS40" s="269"/>
      <c r="DT40" s="269"/>
      <c r="DU40" s="269"/>
      <c r="DV40" s="269"/>
      <c r="DW40" s="269"/>
      <c r="DX40" s="269"/>
      <c r="DY40" s="272"/>
      <c r="DZ40" s="273"/>
      <c r="EA40" s="268"/>
      <c r="EB40" s="268"/>
      <c r="EC40" s="268"/>
      <c r="ED40" s="268"/>
      <c r="EE40" s="268"/>
      <c r="EF40" s="268"/>
      <c r="EG40" s="268"/>
      <c r="EH40" s="268"/>
      <c r="EI40" s="272"/>
      <c r="EJ40" s="273"/>
      <c r="EK40" s="268"/>
      <c r="EL40" s="268"/>
      <c r="EM40" s="268"/>
      <c r="EN40" s="268"/>
      <c r="EO40" s="268"/>
      <c r="EP40" s="268"/>
      <c r="EQ40" s="268"/>
      <c r="ER40" s="268"/>
      <c r="ES40" s="272"/>
      <c r="ET40" s="273"/>
      <c r="EU40" s="268"/>
      <c r="EV40" s="268"/>
      <c r="EW40" s="268"/>
      <c r="EX40" s="268"/>
      <c r="EY40" s="268"/>
      <c r="EZ40" s="268"/>
      <c r="FA40" s="268"/>
      <c r="FB40" s="268"/>
      <c r="FC40" s="272"/>
      <c r="FD40" s="273"/>
      <c r="FE40" s="268"/>
      <c r="FF40" s="268"/>
      <c r="FG40" s="268"/>
      <c r="FH40" s="268"/>
      <c r="FI40" s="268"/>
      <c r="FJ40" s="268"/>
      <c r="FK40" s="268"/>
      <c r="FL40" s="268"/>
      <c r="FM40" s="272"/>
      <c r="FN40" s="273"/>
      <c r="FO40" s="268"/>
      <c r="FP40" s="268"/>
      <c r="FQ40" s="268"/>
      <c r="FR40" s="268"/>
      <c r="FS40" s="268"/>
      <c r="FT40" s="268"/>
      <c r="FU40" s="268"/>
      <c r="FV40" s="268"/>
      <c r="FW40" s="272"/>
    </row>
    <row r="41" spans="2:179">
      <c r="B41" s="467"/>
      <c r="C41" s="467"/>
      <c r="D41" s="467"/>
      <c r="E41" s="468"/>
      <c r="F41" s="258"/>
      <c r="G41" s="258"/>
      <c r="H41" s="259"/>
      <c r="I41" s="260"/>
      <c r="J41" s="274"/>
      <c r="K41" s="275"/>
      <c r="L41" s="276"/>
      <c r="M41" s="276"/>
      <c r="N41" s="276"/>
      <c r="O41" s="276"/>
      <c r="P41" s="276"/>
      <c r="Q41" s="276"/>
      <c r="R41" s="276"/>
      <c r="S41" s="276"/>
      <c r="T41" s="277"/>
      <c r="U41" s="276"/>
      <c r="V41" s="276"/>
      <c r="W41" s="276"/>
      <c r="X41" s="276"/>
      <c r="Y41" s="276"/>
      <c r="Z41" s="276"/>
      <c r="AA41" s="276"/>
      <c r="AB41" s="276"/>
      <c r="AC41" s="278"/>
      <c r="AD41" s="277"/>
      <c r="AE41" s="276"/>
      <c r="AF41" s="276"/>
      <c r="AG41" s="276"/>
      <c r="AH41" s="276"/>
      <c r="AI41" s="276"/>
      <c r="AJ41" s="276"/>
      <c r="AK41" s="276"/>
      <c r="AL41" s="276"/>
      <c r="AM41" s="278"/>
      <c r="AN41" s="277"/>
      <c r="AO41" s="276"/>
      <c r="AP41" s="276"/>
      <c r="AQ41" s="276"/>
      <c r="AR41" s="276"/>
      <c r="AS41" s="276"/>
      <c r="AT41" s="276"/>
      <c r="AU41" s="276"/>
      <c r="AV41" s="276"/>
      <c r="AW41" s="278"/>
      <c r="AX41" s="277"/>
      <c r="AY41" s="276"/>
      <c r="AZ41" s="276"/>
      <c r="BA41" s="276"/>
      <c r="BB41" s="276"/>
      <c r="BC41" s="276"/>
      <c r="BD41" s="276"/>
      <c r="BE41" s="276"/>
      <c r="BF41" s="276"/>
      <c r="BG41" s="278"/>
      <c r="BH41" s="277"/>
      <c r="BI41" s="276"/>
      <c r="BJ41" s="276"/>
      <c r="BK41" s="276"/>
      <c r="BL41" s="276"/>
      <c r="BM41" s="276"/>
      <c r="BN41" s="276"/>
      <c r="BO41" s="276"/>
      <c r="BP41" s="276"/>
      <c r="BQ41" s="278"/>
      <c r="BR41" s="277"/>
      <c r="BS41" s="276"/>
      <c r="BT41" s="276"/>
      <c r="BU41" s="276"/>
      <c r="BV41" s="276"/>
      <c r="BW41" s="276"/>
      <c r="BX41" s="276"/>
      <c r="BY41" s="276"/>
      <c r="BZ41" s="276"/>
      <c r="CA41" s="278"/>
      <c r="CB41" s="277"/>
      <c r="CC41" s="276"/>
      <c r="CD41" s="276"/>
      <c r="CE41" s="276"/>
      <c r="CF41" s="276"/>
      <c r="CG41" s="276"/>
      <c r="CH41" s="276"/>
      <c r="CI41" s="276"/>
      <c r="CJ41" s="276"/>
      <c r="CK41" s="278"/>
      <c r="CL41" s="277"/>
      <c r="CM41" s="276"/>
      <c r="CN41" s="276"/>
      <c r="CO41" s="276"/>
      <c r="CP41" s="276"/>
      <c r="CQ41" s="276"/>
      <c r="CR41" s="276"/>
      <c r="CS41" s="276"/>
      <c r="CT41" s="276"/>
      <c r="CU41" s="278"/>
      <c r="CV41" s="277"/>
      <c r="CW41" s="276"/>
      <c r="CX41" s="276"/>
      <c r="CY41" s="276"/>
      <c r="CZ41" s="276"/>
      <c r="DA41" s="276"/>
      <c r="DB41" s="276"/>
      <c r="DC41" s="276"/>
      <c r="DD41" s="276"/>
      <c r="DE41" s="278"/>
      <c r="DF41" s="277"/>
      <c r="DG41" s="276"/>
      <c r="DH41" s="276"/>
      <c r="DI41" s="276"/>
      <c r="DJ41" s="276"/>
      <c r="DK41" s="276"/>
      <c r="DL41" s="276"/>
      <c r="DM41" s="276"/>
      <c r="DN41" s="276"/>
      <c r="DO41" s="278"/>
      <c r="DP41" s="277"/>
      <c r="DQ41" s="276"/>
      <c r="DR41" s="276"/>
      <c r="DS41" s="276"/>
      <c r="DT41" s="276"/>
      <c r="DU41" s="276"/>
      <c r="DV41" s="276"/>
      <c r="DW41" s="276"/>
      <c r="DX41" s="276"/>
      <c r="DY41" s="278"/>
      <c r="DZ41" s="277"/>
      <c r="EA41" s="276"/>
      <c r="EB41" s="276"/>
      <c r="EC41" s="276"/>
      <c r="ED41" s="276"/>
      <c r="EE41" s="276"/>
      <c r="EF41" s="276"/>
      <c r="EG41" s="276"/>
      <c r="EH41" s="276"/>
      <c r="EI41" s="278"/>
      <c r="EJ41" s="277"/>
      <c r="EK41" s="276"/>
      <c r="EL41" s="276"/>
      <c r="EM41" s="276"/>
      <c r="EN41" s="276"/>
      <c r="EO41" s="276"/>
      <c r="EP41" s="276"/>
      <c r="EQ41" s="276"/>
      <c r="ER41" s="276"/>
      <c r="ES41" s="278"/>
      <c r="ET41" s="277"/>
      <c r="EU41" s="276"/>
      <c r="EV41" s="276"/>
      <c r="EW41" s="276"/>
      <c r="EX41" s="276"/>
      <c r="EY41" s="276"/>
      <c r="EZ41" s="276"/>
      <c r="FA41" s="276"/>
      <c r="FB41" s="276"/>
      <c r="FC41" s="278"/>
      <c r="FD41" s="277"/>
      <c r="FE41" s="276"/>
      <c r="FF41" s="276"/>
      <c r="FG41" s="276"/>
      <c r="FH41" s="276"/>
      <c r="FI41" s="276"/>
      <c r="FJ41" s="276"/>
      <c r="FK41" s="276"/>
      <c r="FL41" s="276"/>
      <c r="FM41" s="278"/>
      <c r="FN41" s="277"/>
      <c r="FO41" s="276"/>
      <c r="FP41" s="276"/>
      <c r="FQ41" s="276"/>
      <c r="FR41" s="276"/>
      <c r="FS41" s="276"/>
      <c r="FT41" s="276"/>
      <c r="FU41" s="276"/>
      <c r="FV41" s="276"/>
      <c r="FW41" s="278"/>
    </row>
    <row r="42" spans="2:179" ht="14.25" thickBot="1">
      <c r="B42" s="472" t="s">
        <v>862</v>
      </c>
      <c r="C42" s="472"/>
      <c r="D42" s="472"/>
      <c r="E42" s="469"/>
      <c r="F42" s="263">
        <f>F11+F15+F21+F23+F25+F27+F31</f>
        <v>70.699999999999989</v>
      </c>
      <c r="G42" s="263">
        <f>G11+G15+G21+G23+G25+G27+G31</f>
        <v>120.3</v>
      </c>
      <c r="H42" s="264" t="s">
        <v>847</v>
      </c>
      <c r="I42" s="265" t="s">
        <v>829</v>
      </c>
      <c r="J42" s="251"/>
      <c r="K42" s="261"/>
      <c r="L42" s="255"/>
      <c r="M42" s="255"/>
      <c r="N42" s="255"/>
      <c r="O42" s="255"/>
      <c r="P42" s="269"/>
      <c r="Q42" s="269"/>
      <c r="R42" s="269"/>
      <c r="S42" s="269"/>
      <c r="T42" s="270"/>
      <c r="U42" s="269"/>
      <c r="V42" s="269"/>
      <c r="W42" s="269"/>
      <c r="X42" s="269"/>
      <c r="Y42" s="269"/>
      <c r="Z42" s="269"/>
      <c r="AA42" s="269"/>
      <c r="AB42" s="269"/>
      <c r="AC42" s="271"/>
      <c r="AD42" s="270"/>
      <c r="AE42" s="269"/>
      <c r="AF42" s="269"/>
      <c r="AG42" s="269"/>
      <c r="AH42" s="269"/>
      <c r="AI42" s="269"/>
      <c r="AJ42" s="269"/>
      <c r="AK42" s="269"/>
      <c r="AL42" s="269"/>
      <c r="AM42" s="271"/>
      <c r="AN42" s="270"/>
      <c r="AO42" s="269"/>
      <c r="AP42" s="269"/>
      <c r="AQ42" s="269"/>
      <c r="AR42" s="269"/>
      <c r="AS42" s="269"/>
      <c r="AT42" s="269"/>
      <c r="AU42" s="269"/>
      <c r="AV42" s="269"/>
      <c r="AW42" s="271"/>
      <c r="AX42" s="270"/>
      <c r="AY42" s="269"/>
      <c r="AZ42" s="269"/>
      <c r="BA42" s="269"/>
      <c r="BB42" s="269"/>
      <c r="BC42" s="269"/>
      <c r="BD42" s="269"/>
      <c r="BE42" s="269"/>
      <c r="BF42" s="269"/>
      <c r="BG42" s="271"/>
      <c r="BH42" s="270"/>
      <c r="BI42" s="269"/>
      <c r="BJ42" s="269"/>
      <c r="BK42" s="269"/>
      <c r="BL42" s="269"/>
      <c r="BM42" s="269"/>
      <c r="BN42" s="269"/>
      <c r="BO42" s="269"/>
      <c r="BP42" s="269"/>
      <c r="BQ42" s="271"/>
      <c r="BR42" s="270"/>
      <c r="BS42" s="269"/>
      <c r="BT42" s="269"/>
      <c r="BU42" s="269"/>
      <c r="BV42" s="269"/>
      <c r="BW42" s="269"/>
      <c r="BX42" s="269"/>
      <c r="BY42" s="269"/>
      <c r="BZ42" s="269"/>
      <c r="CA42" s="271"/>
      <c r="CB42" s="270"/>
      <c r="CC42" s="269"/>
      <c r="CD42" s="269"/>
      <c r="CE42" s="269"/>
      <c r="CF42" s="269"/>
      <c r="CG42" s="269"/>
      <c r="CH42" s="269"/>
      <c r="CI42" s="269"/>
      <c r="CJ42" s="269"/>
      <c r="CK42" s="271"/>
      <c r="CL42" s="270"/>
      <c r="CM42" s="269"/>
      <c r="CN42" s="269"/>
      <c r="CO42" s="269"/>
      <c r="CP42" s="269"/>
      <c r="CQ42" s="269"/>
      <c r="CR42" s="269"/>
      <c r="CS42" s="269"/>
      <c r="CT42" s="269"/>
      <c r="CU42" s="271"/>
      <c r="CV42" s="270"/>
      <c r="CW42" s="269"/>
      <c r="CX42" s="269"/>
      <c r="CY42" s="269"/>
      <c r="CZ42" s="269"/>
      <c r="DA42" s="269"/>
      <c r="DB42" s="269"/>
      <c r="DC42" s="269"/>
      <c r="DD42" s="269"/>
      <c r="DE42" s="271"/>
      <c r="DF42" s="270"/>
      <c r="DG42" s="269"/>
      <c r="DH42" s="269"/>
      <c r="DI42" s="269"/>
      <c r="DJ42" s="269"/>
      <c r="DK42" s="269"/>
      <c r="DL42" s="269"/>
      <c r="DM42" s="269"/>
      <c r="DN42" s="269"/>
      <c r="DO42" s="271"/>
      <c r="DP42" s="270"/>
      <c r="DQ42" s="269"/>
      <c r="DR42" s="269"/>
      <c r="DS42" s="269"/>
      <c r="DT42" s="269"/>
      <c r="DU42" s="269"/>
      <c r="DV42" s="269"/>
      <c r="DW42" s="269"/>
      <c r="DX42" s="269"/>
      <c r="DY42" s="271"/>
      <c r="DZ42" s="270"/>
      <c r="EA42" s="269"/>
      <c r="EB42" s="269"/>
      <c r="EC42" s="269"/>
      <c r="ED42" s="269"/>
      <c r="EE42" s="269"/>
      <c r="EF42" s="269"/>
      <c r="EG42" s="269"/>
      <c r="EH42" s="269"/>
      <c r="EI42" s="271"/>
      <c r="EJ42" s="270"/>
      <c r="EK42" s="269"/>
      <c r="EL42" s="269"/>
      <c r="EM42" s="269"/>
      <c r="EN42" s="269"/>
      <c r="EO42" s="269"/>
      <c r="EP42" s="269"/>
      <c r="EQ42" s="269"/>
      <c r="ER42" s="269"/>
      <c r="ES42" s="271"/>
      <c r="ET42" s="270"/>
      <c r="EU42" s="269"/>
      <c r="EV42" s="269"/>
      <c r="EW42" s="269"/>
      <c r="EX42" s="269"/>
      <c r="EY42" s="269"/>
      <c r="EZ42" s="269"/>
      <c r="FA42" s="269"/>
      <c r="FB42" s="269"/>
      <c r="FC42" s="271"/>
      <c r="FD42" s="270"/>
      <c r="FE42" s="269"/>
      <c r="FF42" s="269"/>
      <c r="FG42" s="269"/>
      <c r="FH42" s="269"/>
      <c r="FI42" s="269"/>
      <c r="FJ42" s="269"/>
      <c r="FK42" s="269"/>
      <c r="FL42" s="269"/>
      <c r="FM42" s="271"/>
      <c r="FN42" s="270"/>
      <c r="FO42" s="269"/>
      <c r="FP42" s="269"/>
      <c r="FQ42" s="269"/>
      <c r="FR42" s="269"/>
      <c r="FS42" s="269"/>
      <c r="FT42" s="269"/>
      <c r="FU42" s="255"/>
      <c r="FV42" s="255"/>
      <c r="FW42" s="257"/>
    </row>
    <row r="43" spans="2:179">
      <c r="B43" s="467"/>
      <c r="C43" s="467"/>
      <c r="D43" s="467"/>
      <c r="E43" s="468"/>
      <c r="F43" s="258"/>
      <c r="G43" s="258"/>
      <c r="H43" s="259"/>
      <c r="I43" s="260"/>
      <c r="J43" s="274"/>
      <c r="K43" s="275"/>
      <c r="L43" s="276"/>
      <c r="M43" s="276"/>
      <c r="N43" s="276"/>
      <c r="O43" s="276"/>
      <c r="P43" s="276"/>
      <c r="Q43" s="276"/>
      <c r="R43" s="276"/>
      <c r="S43" s="276"/>
      <c r="T43" s="277"/>
      <c r="U43" s="276"/>
      <c r="V43" s="276"/>
      <c r="W43" s="276"/>
      <c r="X43" s="276"/>
      <c r="Y43" s="276"/>
      <c r="Z43" s="276"/>
      <c r="AA43" s="276"/>
      <c r="AB43" s="276"/>
      <c r="AC43" s="278"/>
      <c r="AD43" s="277"/>
      <c r="AE43" s="276"/>
      <c r="AF43" s="276"/>
      <c r="AG43" s="276"/>
      <c r="AH43" s="276"/>
      <c r="AI43" s="276"/>
      <c r="AJ43" s="276"/>
      <c r="AK43" s="276"/>
      <c r="AL43" s="276"/>
      <c r="AM43" s="278"/>
      <c r="AN43" s="277"/>
      <c r="AO43" s="276"/>
      <c r="AP43" s="276"/>
      <c r="AQ43" s="276"/>
      <c r="AR43" s="276"/>
      <c r="AS43" s="276"/>
      <c r="AT43" s="276"/>
      <c r="AU43" s="276"/>
      <c r="AV43" s="276"/>
      <c r="AW43" s="278"/>
      <c r="AX43" s="277"/>
      <c r="AY43" s="276"/>
      <c r="AZ43" s="276"/>
      <c r="BA43" s="276"/>
      <c r="BB43" s="276"/>
      <c r="BC43" s="276"/>
      <c r="BD43" s="276"/>
      <c r="BE43" s="276"/>
      <c r="BF43" s="276"/>
      <c r="BG43" s="278"/>
      <c r="BH43" s="277"/>
      <c r="BI43" s="276"/>
      <c r="BJ43" s="276"/>
      <c r="BK43" s="276"/>
      <c r="BL43" s="276"/>
      <c r="BM43" s="276"/>
      <c r="BN43" s="276"/>
      <c r="BO43" s="276"/>
      <c r="BP43" s="276"/>
      <c r="BQ43" s="278"/>
      <c r="BR43" s="277"/>
      <c r="BS43" s="276"/>
      <c r="BT43" s="276"/>
      <c r="BU43" s="276"/>
      <c r="BV43" s="276"/>
      <c r="BW43" s="276"/>
      <c r="BX43" s="276"/>
      <c r="BY43" s="276"/>
      <c r="BZ43" s="276"/>
      <c r="CA43" s="278"/>
      <c r="CB43" s="277"/>
      <c r="CC43" s="276"/>
      <c r="CD43" s="276"/>
      <c r="CE43" s="276"/>
      <c r="CF43" s="276"/>
      <c r="CG43" s="276"/>
      <c r="CH43" s="276"/>
      <c r="CI43" s="276"/>
      <c r="CJ43" s="276"/>
      <c r="CK43" s="278"/>
      <c r="CL43" s="277"/>
      <c r="CM43" s="276"/>
      <c r="CN43" s="276"/>
      <c r="CO43" s="276"/>
      <c r="CP43" s="276"/>
      <c r="CQ43" s="276"/>
      <c r="CR43" s="276"/>
      <c r="CS43" s="276"/>
      <c r="CT43" s="276"/>
      <c r="CU43" s="278"/>
      <c r="CV43" s="277"/>
      <c r="CW43" s="276"/>
      <c r="CX43" s="276"/>
      <c r="CY43" s="276"/>
      <c r="CZ43" s="276"/>
      <c r="DA43" s="276"/>
      <c r="DB43" s="276"/>
      <c r="DC43" s="276"/>
      <c r="DD43" s="276"/>
      <c r="DE43" s="278"/>
      <c r="DF43" s="277"/>
      <c r="DG43" s="276"/>
      <c r="DH43" s="276"/>
      <c r="DI43" s="276"/>
      <c r="DJ43" s="276"/>
      <c r="DK43" s="276"/>
      <c r="DL43" s="276"/>
      <c r="DM43" s="276"/>
      <c r="DN43" s="276"/>
      <c r="DO43" s="278"/>
      <c r="DP43" s="277"/>
      <c r="DQ43" s="276"/>
      <c r="DR43" s="276"/>
      <c r="DS43" s="276"/>
      <c r="DT43" s="276"/>
      <c r="DU43" s="276"/>
      <c r="DV43" s="276"/>
      <c r="DW43" s="276"/>
      <c r="DX43" s="276"/>
      <c r="DY43" s="278"/>
      <c r="DZ43" s="277"/>
      <c r="EA43" s="276"/>
      <c r="EB43" s="276"/>
      <c r="EC43" s="276"/>
      <c r="ED43" s="276"/>
      <c r="EE43" s="276"/>
      <c r="EF43" s="276"/>
      <c r="EG43" s="276"/>
      <c r="EH43" s="276"/>
      <c r="EI43" s="278"/>
      <c r="EJ43" s="277"/>
      <c r="EK43" s="276"/>
      <c r="EL43" s="276"/>
      <c r="EM43" s="276"/>
      <c r="EN43" s="276"/>
      <c r="EO43" s="276"/>
      <c r="EP43" s="276"/>
      <c r="EQ43" s="276"/>
      <c r="ER43" s="276"/>
      <c r="ES43" s="278"/>
      <c r="ET43" s="277"/>
      <c r="EU43" s="276"/>
      <c r="EV43" s="276"/>
      <c r="EW43" s="276"/>
      <c r="EX43" s="276"/>
      <c r="EY43" s="276"/>
      <c r="EZ43" s="276"/>
      <c r="FA43" s="276"/>
      <c r="FB43" s="276"/>
      <c r="FC43" s="278"/>
      <c r="FD43" s="277"/>
      <c r="FE43" s="276"/>
      <c r="FF43" s="276"/>
      <c r="FG43" s="276"/>
      <c r="FH43" s="276"/>
      <c r="FI43" s="276"/>
      <c r="FJ43" s="276"/>
      <c r="FK43" s="276"/>
      <c r="FL43" s="276"/>
      <c r="FM43" s="278"/>
      <c r="FN43" s="277"/>
      <c r="FO43" s="276"/>
      <c r="FP43" s="276"/>
      <c r="FQ43" s="276"/>
      <c r="FR43" s="276"/>
      <c r="FS43" s="276"/>
      <c r="FT43" s="276"/>
      <c r="FU43" s="276"/>
      <c r="FV43" s="276"/>
      <c r="FW43" s="278"/>
    </row>
    <row r="44" spans="2:179" ht="14.25" thickBot="1">
      <c r="B44" s="472" t="s">
        <v>542</v>
      </c>
      <c r="C44" s="472"/>
      <c r="D44" s="472"/>
      <c r="E44" s="469"/>
      <c r="F44" s="263">
        <f>F7+F9+F11+F15+F21+F23+F25+F27+F29+F31</f>
        <v>99</v>
      </c>
      <c r="G44" s="263">
        <f>G7+G9+G11+G15+G21+G23+G25+G27+G29+G31</f>
        <v>168.4</v>
      </c>
      <c r="H44" s="264" t="s">
        <v>829</v>
      </c>
      <c r="I44" s="265" t="s">
        <v>847</v>
      </c>
      <c r="J44" s="266"/>
      <c r="K44" s="279"/>
      <c r="L44" s="269"/>
      <c r="M44" s="269"/>
      <c r="N44" s="269"/>
      <c r="O44" s="269"/>
      <c r="P44" s="269"/>
      <c r="Q44" s="269"/>
      <c r="R44" s="269"/>
      <c r="S44" s="269"/>
      <c r="T44" s="270"/>
      <c r="U44" s="269"/>
      <c r="V44" s="269"/>
      <c r="W44" s="269"/>
      <c r="X44" s="269"/>
      <c r="Y44" s="269"/>
      <c r="Z44" s="269"/>
      <c r="AA44" s="269"/>
      <c r="AB44" s="269"/>
      <c r="AC44" s="271"/>
      <c r="AD44" s="270"/>
      <c r="AE44" s="269"/>
      <c r="AF44" s="269"/>
      <c r="AG44" s="269"/>
      <c r="AH44" s="269"/>
      <c r="AI44" s="269"/>
      <c r="AJ44" s="269"/>
      <c r="AK44" s="269"/>
      <c r="AL44" s="269"/>
      <c r="AM44" s="271"/>
      <c r="AN44" s="270"/>
      <c r="AO44" s="269"/>
      <c r="AP44" s="269"/>
      <c r="AQ44" s="269"/>
      <c r="AR44" s="269"/>
      <c r="AS44" s="269"/>
      <c r="AT44" s="269"/>
      <c r="AU44" s="269"/>
      <c r="AV44" s="269"/>
      <c r="AW44" s="271"/>
      <c r="AX44" s="270"/>
      <c r="AY44" s="269"/>
      <c r="AZ44" s="269"/>
      <c r="BA44" s="269"/>
      <c r="BB44" s="269"/>
      <c r="BC44" s="269"/>
      <c r="BD44" s="269"/>
      <c r="BE44" s="269"/>
      <c r="BF44" s="269"/>
      <c r="BG44" s="271"/>
      <c r="BH44" s="270"/>
      <c r="BI44" s="269"/>
      <c r="BJ44" s="269"/>
      <c r="BK44" s="269"/>
      <c r="BL44" s="269"/>
      <c r="BM44" s="269"/>
      <c r="BN44" s="269"/>
      <c r="BO44" s="269"/>
      <c r="BP44" s="269"/>
      <c r="BQ44" s="271"/>
      <c r="BR44" s="270"/>
      <c r="BS44" s="269"/>
      <c r="BT44" s="269"/>
      <c r="BU44" s="269"/>
      <c r="BV44" s="269"/>
      <c r="BW44" s="269"/>
      <c r="BX44" s="269"/>
      <c r="BY44" s="269"/>
      <c r="BZ44" s="269"/>
      <c r="CA44" s="271"/>
      <c r="CB44" s="270"/>
      <c r="CC44" s="269"/>
      <c r="CD44" s="269"/>
      <c r="CE44" s="269"/>
      <c r="CF44" s="269"/>
      <c r="CG44" s="269"/>
      <c r="CH44" s="269"/>
      <c r="CI44" s="269"/>
      <c r="CJ44" s="269"/>
      <c r="CK44" s="271"/>
      <c r="CL44" s="270"/>
      <c r="CM44" s="269"/>
      <c r="CN44" s="269"/>
      <c r="CO44" s="269"/>
      <c r="CP44" s="269"/>
      <c r="CQ44" s="269"/>
      <c r="CR44" s="269"/>
      <c r="CS44" s="269"/>
      <c r="CT44" s="269"/>
      <c r="CU44" s="271"/>
      <c r="CV44" s="270"/>
      <c r="CW44" s="269"/>
      <c r="CX44" s="269"/>
      <c r="CY44" s="269"/>
      <c r="CZ44" s="269"/>
      <c r="DA44" s="269"/>
      <c r="DB44" s="269"/>
      <c r="DC44" s="269"/>
      <c r="DD44" s="269"/>
      <c r="DE44" s="271"/>
      <c r="DF44" s="270"/>
      <c r="DG44" s="269"/>
      <c r="DH44" s="269"/>
      <c r="DI44" s="269"/>
      <c r="DJ44" s="269"/>
      <c r="DK44" s="269"/>
      <c r="DL44" s="269"/>
      <c r="DM44" s="269"/>
      <c r="DN44" s="269"/>
      <c r="DO44" s="271"/>
      <c r="DP44" s="270"/>
      <c r="DQ44" s="269"/>
      <c r="DR44" s="269"/>
      <c r="DS44" s="269"/>
      <c r="DT44" s="269"/>
      <c r="DU44" s="269"/>
      <c r="DV44" s="269"/>
      <c r="DW44" s="269"/>
      <c r="DX44" s="269"/>
      <c r="DY44" s="271"/>
      <c r="DZ44" s="270"/>
      <c r="EA44" s="269"/>
      <c r="EB44" s="269"/>
      <c r="EC44" s="269"/>
      <c r="ED44" s="269"/>
      <c r="EE44" s="269"/>
      <c r="EF44" s="269"/>
      <c r="EG44" s="269"/>
      <c r="EH44" s="269"/>
      <c r="EI44" s="271"/>
      <c r="EJ44" s="270"/>
      <c r="EK44" s="269"/>
      <c r="EL44" s="269"/>
      <c r="EM44" s="269"/>
      <c r="EN44" s="269"/>
      <c r="EO44" s="269"/>
      <c r="EP44" s="269"/>
      <c r="EQ44" s="269"/>
      <c r="ER44" s="269"/>
      <c r="ES44" s="271"/>
      <c r="ET44" s="270"/>
      <c r="EU44" s="269"/>
      <c r="EV44" s="269"/>
      <c r="EW44" s="269"/>
      <c r="EX44" s="269"/>
      <c r="EY44" s="269"/>
      <c r="EZ44" s="269"/>
      <c r="FA44" s="269"/>
      <c r="FB44" s="269"/>
      <c r="FC44" s="271"/>
      <c r="FD44" s="270"/>
      <c r="FE44" s="269"/>
      <c r="FF44" s="269"/>
      <c r="FG44" s="269"/>
      <c r="FH44" s="269"/>
      <c r="FI44" s="269"/>
      <c r="FJ44" s="269"/>
      <c r="FK44" s="269"/>
      <c r="FL44" s="269"/>
      <c r="FM44" s="271"/>
      <c r="FN44" s="270"/>
      <c r="FO44" s="269"/>
      <c r="FP44" s="269"/>
      <c r="FQ44" s="269"/>
      <c r="FR44" s="269"/>
      <c r="FS44" s="269"/>
      <c r="FT44" s="269"/>
      <c r="FU44" s="269"/>
      <c r="FV44" s="269"/>
      <c r="FW44" s="272"/>
    </row>
    <row r="45" spans="2:179">
      <c r="B45" s="467"/>
      <c r="C45" s="467"/>
      <c r="D45" s="467"/>
      <c r="E45" s="468"/>
      <c r="F45" s="258"/>
      <c r="G45" s="258"/>
      <c r="H45" s="259"/>
      <c r="I45" s="260"/>
      <c r="J45" s="274"/>
      <c r="K45" s="275"/>
      <c r="L45" s="276"/>
      <c r="M45" s="276"/>
      <c r="N45" s="276"/>
      <c r="O45" s="276"/>
      <c r="P45" s="276"/>
      <c r="Q45" s="276"/>
      <c r="R45" s="276"/>
      <c r="S45" s="276"/>
      <c r="T45" s="277"/>
      <c r="U45" s="276"/>
      <c r="V45" s="276"/>
      <c r="W45" s="276"/>
      <c r="X45" s="276"/>
      <c r="Y45" s="276"/>
      <c r="Z45" s="276"/>
      <c r="AA45" s="276"/>
      <c r="AB45" s="276"/>
      <c r="AC45" s="278"/>
      <c r="AD45" s="277"/>
      <c r="AE45" s="276"/>
      <c r="AF45" s="276"/>
      <c r="AG45" s="276"/>
      <c r="AH45" s="276"/>
      <c r="AI45" s="276"/>
      <c r="AJ45" s="276"/>
      <c r="AK45" s="276"/>
      <c r="AL45" s="276"/>
      <c r="AM45" s="278"/>
      <c r="AN45" s="277"/>
      <c r="AO45" s="276"/>
      <c r="AP45" s="276"/>
      <c r="AQ45" s="276"/>
      <c r="AR45" s="276"/>
      <c r="AS45" s="276"/>
      <c r="AT45" s="276"/>
      <c r="AU45" s="276"/>
      <c r="AV45" s="276"/>
      <c r="AW45" s="278"/>
      <c r="AX45" s="277"/>
      <c r="AY45" s="276"/>
      <c r="AZ45" s="276"/>
      <c r="BA45" s="276"/>
      <c r="BB45" s="276"/>
      <c r="BC45" s="276"/>
      <c r="BD45" s="276"/>
      <c r="BE45" s="276"/>
      <c r="BF45" s="276"/>
      <c r="BG45" s="278"/>
      <c r="BH45" s="277"/>
      <c r="BI45" s="276"/>
      <c r="BJ45" s="276"/>
      <c r="BK45" s="276"/>
      <c r="BL45" s="276"/>
      <c r="BM45" s="276"/>
      <c r="BN45" s="276"/>
      <c r="BO45" s="276"/>
      <c r="BP45" s="276"/>
      <c r="BQ45" s="278"/>
      <c r="BR45" s="277"/>
      <c r="BS45" s="276"/>
      <c r="BT45" s="276"/>
      <c r="BU45" s="276"/>
      <c r="BV45" s="276"/>
      <c r="BW45" s="276"/>
      <c r="BX45" s="276"/>
      <c r="BY45" s="276"/>
      <c r="BZ45" s="276"/>
      <c r="CA45" s="278"/>
      <c r="CB45" s="277"/>
      <c r="CC45" s="276"/>
      <c r="CD45" s="276"/>
      <c r="CE45" s="276"/>
      <c r="CF45" s="276"/>
      <c r="CG45" s="276"/>
      <c r="CH45" s="276"/>
      <c r="CI45" s="276"/>
      <c r="CJ45" s="276"/>
      <c r="CK45" s="278"/>
      <c r="CL45" s="277"/>
      <c r="CM45" s="276"/>
      <c r="CN45" s="276"/>
      <c r="CO45" s="276"/>
      <c r="CP45" s="276"/>
      <c r="CQ45" s="276"/>
      <c r="CR45" s="276"/>
      <c r="CS45" s="276"/>
      <c r="CT45" s="276"/>
      <c r="CU45" s="278"/>
      <c r="CV45" s="277"/>
      <c r="CW45" s="276"/>
      <c r="CX45" s="276"/>
      <c r="CY45" s="276"/>
      <c r="CZ45" s="276"/>
      <c r="DA45" s="276"/>
      <c r="DB45" s="276"/>
      <c r="DC45" s="276"/>
      <c r="DD45" s="276"/>
      <c r="DE45" s="278"/>
      <c r="DF45" s="277"/>
      <c r="DG45" s="276"/>
      <c r="DH45" s="276"/>
      <c r="DI45" s="276"/>
      <c r="DJ45" s="276"/>
      <c r="DK45" s="276"/>
      <c r="DL45" s="276"/>
      <c r="DM45" s="276"/>
      <c r="DN45" s="276"/>
      <c r="DO45" s="278"/>
      <c r="DP45" s="277"/>
      <c r="DQ45" s="276"/>
      <c r="DR45" s="276"/>
      <c r="DS45" s="276"/>
      <c r="DT45" s="276"/>
      <c r="DU45" s="276"/>
      <c r="DV45" s="276"/>
      <c r="DW45" s="276"/>
      <c r="DX45" s="276"/>
      <c r="DY45" s="278"/>
      <c r="DZ45" s="277"/>
      <c r="EA45" s="276"/>
      <c r="EB45" s="276"/>
      <c r="EC45" s="276"/>
      <c r="ED45" s="276"/>
      <c r="EE45" s="276"/>
      <c r="EF45" s="276"/>
      <c r="EG45" s="276"/>
      <c r="EH45" s="276"/>
      <c r="EI45" s="278"/>
      <c r="EJ45" s="277"/>
      <c r="EK45" s="276"/>
      <c r="EL45" s="276"/>
      <c r="EM45" s="276"/>
      <c r="EN45" s="276"/>
      <c r="EO45" s="276"/>
      <c r="EP45" s="276"/>
      <c r="EQ45" s="276"/>
      <c r="ER45" s="276"/>
      <c r="ES45" s="278"/>
      <c r="ET45" s="277"/>
      <c r="EU45" s="276"/>
      <c r="EV45" s="276"/>
      <c r="EW45" s="276"/>
      <c r="EX45" s="276"/>
      <c r="EY45" s="276"/>
      <c r="EZ45" s="276"/>
      <c r="FA45" s="276"/>
      <c r="FB45" s="276"/>
      <c r="FC45" s="278"/>
      <c r="FD45" s="277"/>
      <c r="FE45" s="276"/>
      <c r="FF45" s="276"/>
      <c r="FG45" s="276"/>
      <c r="FH45" s="276"/>
      <c r="FI45" s="276"/>
      <c r="FJ45" s="276"/>
      <c r="FK45" s="276"/>
      <c r="FL45" s="276"/>
      <c r="FM45" s="278"/>
      <c r="FN45" s="277"/>
      <c r="FO45" s="276"/>
      <c r="FP45" s="276"/>
      <c r="FQ45" s="276"/>
      <c r="FR45" s="276"/>
      <c r="FS45" s="276"/>
      <c r="FT45" s="276"/>
      <c r="FU45" s="276"/>
      <c r="FV45" s="276"/>
      <c r="FW45" s="278"/>
    </row>
    <row r="46" spans="2:179" hidden="1">
      <c r="B46" s="469" t="s">
        <v>866</v>
      </c>
      <c r="C46" s="470"/>
      <c r="D46" s="470"/>
      <c r="E46" s="471"/>
      <c r="F46" s="263">
        <f>F11+F15</f>
        <v>17.7</v>
      </c>
      <c r="G46" s="263">
        <f>G11+G15</f>
        <v>30.1</v>
      </c>
      <c r="H46" s="264" t="s">
        <v>861</v>
      </c>
      <c r="I46" s="265" t="s">
        <v>847</v>
      </c>
      <c r="J46" s="266"/>
      <c r="K46" s="267"/>
      <c r="L46" s="268"/>
      <c r="M46" s="268"/>
      <c r="N46" s="268"/>
      <c r="O46" s="268"/>
      <c r="P46" s="268"/>
      <c r="Q46" s="268"/>
      <c r="R46" s="268"/>
      <c r="S46" s="268"/>
      <c r="T46" s="273"/>
      <c r="U46" s="268"/>
      <c r="V46" s="268"/>
      <c r="W46" s="268"/>
      <c r="X46" s="268"/>
      <c r="Y46" s="268"/>
      <c r="Z46" s="268"/>
      <c r="AA46" s="268"/>
      <c r="AB46" s="268"/>
      <c r="AC46" s="272"/>
      <c r="AD46" s="273"/>
      <c r="AE46" s="268"/>
      <c r="AF46" s="268"/>
      <c r="AG46" s="268"/>
      <c r="AH46" s="268"/>
      <c r="AI46" s="268"/>
      <c r="AJ46" s="268"/>
      <c r="AK46" s="268"/>
      <c r="AL46" s="268"/>
      <c r="AM46" s="272"/>
      <c r="AN46" s="273"/>
      <c r="AO46" s="268"/>
      <c r="AP46" s="268"/>
      <c r="AQ46" s="268"/>
      <c r="AR46" s="268"/>
      <c r="AS46" s="268"/>
      <c r="AT46" s="268"/>
      <c r="AU46" s="268"/>
      <c r="AV46" s="268"/>
      <c r="AW46" s="272"/>
      <c r="AX46" s="273"/>
      <c r="AY46" s="268"/>
      <c r="AZ46" s="268"/>
      <c r="BA46" s="268"/>
      <c r="BB46" s="268"/>
      <c r="BC46" s="268"/>
      <c r="BD46" s="268"/>
      <c r="BE46" s="268"/>
      <c r="BF46" s="268"/>
      <c r="BG46" s="272"/>
      <c r="BH46" s="273"/>
      <c r="BI46" s="268"/>
      <c r="BJ46" s="268"/>
      <c r="BK46" s="268"/>
      <c r="BL46" s="268"/>
      <c r="BM46" s="268"/>
      <c r="BN46" s="268"/>
      <c r="BO46" s="268"/>
      <c r="BP46" s="268"/>
      <c r="BQ46" s="272"/>
      <c r="BR46" s="273"/>
      <c r="BS46" s="268"/>
      <c r="BT46" s="268"/>
      <c r="BU46" s="268"/>
      <c r="BV46" s="268"/>
      <c r="BW46" s="268"/>
      <c r="BX46" s="268"/>
      <c r="BY46" s="268"/>
      <c r="BZ46" s="268"/>
      <c r="CA46" s="272"/>
      <c r="CB46" s="273"/>
      <c r="CC46" s="268"/>
      <c r="CD46" s="268"/>
      <c r="CE46" s="268"/>
      <c r="CF46" s="268"/>
      <c r="CG46" s="268"/>
      <c r="CH46" s="268"/>
      <c r="CI46" s="268"/>
      <c r="CJ46" s="268"/>
      <c r="CK46" s="272"/>
      <c r="CL46" s="273"/>
      <c r="CM46" s="268"/>
      <c r="CN46" s="268"/>
      <c r="CO46" s="268"/>
      <c r="CP46" s="268"/>
      <c r="CQ46" s="268"/>
      <c r="CR46" s="268"/>
      <c r="CS46" s="268"/>
      <c r="CT46" s="268"/>
      <c r="CU46" s="272"/>
      <c r="CV46" s="273"/>
      <c r="CW46" s="268"/>
      <c r="CX46" s="268"/>
      <c r="CY46" s="268"/>
      <c r="CZ46" s="268"/>
      <c r="DA46" s="268"/>
      <c r="DB46" s="268"/>
      <c r="DC46" s="268"/>
      <c r="DD46" s="268"/>
      <c r="DE46" s="272"/>
      <c r="DF46" s="273"/>
      <c r="DG46" s="268"/>
      <c r="DH46" s="268"/>
      <c r="DI46" s="268"/>
      <c r="DJ46" s="268"/>
      <c r="DK46" s="268"/>
      <c r="DL46" s="268"/>
      <c r="DM46" s="268"/>
      <c r="DN46" s="268"/>
      <c r="DO46" s="272"/>
      <c r="DP46" s="273"/>
      <c r="DQ46" s="268"/>
      <c r="DR46" s="268"/>
      <c r="DS46" s="268"/>
      <c r="DT46" s="268"/>
      <c r="DU46" s="268"/>
      <c r="DV46" s="268"/>
      <c r="DW46" s="268"/>
      <c r="DX46" s="268"/>
      <c r="DY46" s="272"/>
      <c r="DZ46" s="273"/>
      <c r="EA46" s="268"/>
      <c r="EB46" s="268"/>
      <c r="EC46" s="268"/>
      <c r="ED46" s="268"/>
      <c r="EE46" s="268"/>
      <c r="EF46" s="268"/>
      <c r="EG46" s="268"/>
      <c r="EH46" s="268"/>
      <c r="EI46" s="272"/>
      <c r="EJ46" s="273"/>
      <c r="EK46" s="268"/>
      <c r="EL46" s="268"/>
      <c r="EM46" s="268"/>
      <c r="EN46" s="268"/>
      <c r="EO46" s="268"/>
      <c r="EP46" s="268"/>
      <c r="EQ46" s="268"/>
      <c r="ER46" s="268"/>
      <c r="ES46" s="272"/>
      <c r="ET46" s="273"/>
      <c r="EU46" s="268"/>
      <c r="EV46" s="268"/>
      <c r="EW46" s="268"/>
      <c r="EX46" s="268"/>
      <c r="EY46" s="268"/>
      <c r="EZ46" s="268"/>
      <c r="FA46" s="268"/>
      <c r="FB46" s="268"/>
      <c r="FC46" s="272"/>
      <c r="FD46" s="273"/>
      <c r="FE46" s="268"/>
      <c r="FF46" s="268"/>
      <c r="FG46" s="268"/>
      <c r="FH46" s="268"/>
      <c r="FI46" s="268"/>
      <c r="FJ46" s="268"/>
      <c r="FK46" s="268"/>
      <c r="FL46" s="268"/>
      <c r="FM46" s="272"/>
      <c r="FN46" s="273"/>
      <c r="FO46" s="268"/>
      <c r="FP46" s="268"/>
      <c r="FQ46" s="268"/>
      <c r="FR46" s="268"/>
      <c r="FS46" s="268"/>
      <c r="FT46" s="268"/>
      <c r="FU46" s="268"/>
      <c r="FV46" s="268"/>
      <c r="FW46" s="272"/>
    </row>
    <row r="47" spans="2:179" hidden="1">
      <c r="B47" s="467"/>
      <c r="C47" s="467"/>
      <c r="D47" s="467"/>
      <c r="E47" s="468"/>
      <c r="F47" s="258"/>
      <c r="G47" s="258"/>
      <c r="H47" s="259"/>
      <c r="I47" s="260"/>
      <c r="J47" s="274"/>
      <c r="K47" s="275"/>
      <c r="L47" s="276"/>
      <c r="M47" s="276"/>
      <c r="N47" s="276"/>
      <c r="O47" s="276"/>
      <c r="P47" s="276"/>
      <c r="Q47" s="276"/>
      <c r="R47" s="276"/>
      <c r="S47" s="276"/>
      <c r="T47" s="277"/>
      <c r="U47" s="276"/>
      <c r="V47" s="276"/>
      <c r="W47" s="276"/>
      <c r="X47" s="276"/>
      <c r="Y47" s="276"/>
      <c r="Z47" s="276"/>
      <c r="AA47" s="276"/>
      <c r="AB47" s="276"/>
      <c r="AC47" s="278"/>
      <c r="AD47" s="277"/>
      <c r="AE47" s="276"/>
      <c r="AF47" s="276"/>
      <c r="AG47" s="276"/>
      <c r="AH47" s="276"/>
      <c r="AI47" s="276"/>
      <c r="AJ47" s="276"/>
      <c r="AK47" s="276"/>
      <c r="AL47" s="276"/>
      <c r="AM47" s="278"/>
      <c r="AN47" s="277"/>
      <c r="AO47" s="276"/>
      <c r="AP47" s="276"/>
      <c r="AQ47" s="276"/>
      <c r="AR47" s="276"/>
      <c r="AS47" s="276"/>
      <c r="AT47" s="276"/>
      <c r="AU47" s="276"/>
      <c r="AV47" s="276"/>
      <c r="AW47" s="278"/>
      <c r="AX47" s="277"/>
      <c r="AY47" s="276"/>
      <c r="AZ47" s="276"/>
      <c r="BA47" s="276"/>
      <c r="BB47" s="276"/>
      <c r="BC47" s="276"/>
      <c r="BD47" s="276"/>
      <c r="BE47" s="276"/>
      <c r="BF47" s="276"/>
      <c r="BG47" s="278"/>
      <c r="BH47" s="277"/>
      <c r="BI47" s="276"/>
      <c r="BJ47" s="276"/>
      <c r="BK47" s="276"/>
      <c r="BL47" s="276"/>
      <c r="BM47" s="276"/>
      <c r="BN47" s="276"/>
      <c r="BO47" s="276"/>
      <c r="BP47" s="276"/>
      <c r="BQ47" s="278"/>
      <c r="BR47" s="277"/>
      <c r="BS47" s="276"/>
      <c r="BT47" s="276"/>
      <c r="BU47" s="276"/>
      <c r="BV47" s="276"/>
      <c r="BW47" s="276"/>
      <c r="BX47" s="276"/>
      <c r="BY47" s="276"/>
      <c r="BZ47" s="276"/>
      <c r="CA47" s="278"/>
      <c r="CB47" s="277"/>
      <c r="CC47" s="276"/>
      <c r="CD47" s="276"/>
      <c r="CE47" s="276"/>
      <c r="CF47" s="276"/>
      <c r="CG47" s="276"/>
      <c r="CH47" s="276"/>
      <c r="CI47" s="276"/>
      <c r="CJ47" s="276"/>
      <c r="CK47" s="278"/>
      <c r="CL47" s="277"/>
      <c r="CM47" s="276"/>
      <c r="CN47" s="276"/>
      <c r="CO47" s="276"/>
      <c r="CP47" s="276"/>
      <c r="CQ47" s="276"/>
      <c r="CR47" s="276"/>
      <c r="CS47" s="276"/>
      <c r="CT47" s="276"/>
      <c r="CU47" s="278"/>
      <c r="CV47" s="277"/>
      <c r="CW47" s="276"/>
      <c r="CX47" s="276"/>
      <c r="CY47" s="276"/>
      <c r="CZ47" s="276"/>
      <c r="DA47" s="276"/>
      <c r="DB47" s="276"/>
      <c r="DC47" s="276"/>
      <c r="DD47" s="276"/>
      <c r="DE47" s="278"/>
      <c r="DF47" s="277"/>
      <c r="DG47" s="276"/>
      <c r="DH47" s="276"/>
      <c r="DI47" s="276"/>
      <c r="DJ47" s="276"/>
      <c r="DK47" s="276"/>
      <c r="DL47" s="276"/>
      <c r="DM47" s="276"/>
      <c r="DN47" s="276"/>
      <c r="DO47" s="278"/>
      <c r="DP47" s="277"/>
      <c r="DQ47" s="276"/>
      <c r="DR47" s="276"/>
      <c r="DS47" s="276"/>
      <c r="DT47" s="276"/>
      <c r="DU47" s="276"/>
      <c r="DV47" s="276"/>
      <c r="DW47" s="276"/>
      <c r="DX47" s="276"/>
      <c r="DY47" s="278"/>
      <c r="DZ47" s="277"/>
      <c r="EA47" s="276"/>
      <c r="EB47" s="276"/>
      <c r="EC47" s="276"/>
      <c r="ED47" s="276"/>
      <c r="EE47" s="276"/>
      <c r="EF47" s="276"/>
      <c r="EG47" s="276"/>
      <c r="EH47" s="276"/>
      <c r="EI47" s="278"/>
      <c r="EJ47" s="277"/>
      <c r="EK47" s="276"/>
      <c r="EL47" s="276"/>
      <c r="EM47" s="276"/>
      <c r="EN47" s="276"/>
      <c r="EO47" s="276"/>
      <c r="EP47" s="276"/>
      <c r="EQ47" s="276"/>
      <c r="ER47" s="276"/>
      <c r="ES47" s="278"/>
      <c r="ET47" s="277"/>
      <c r="EU47" s="276"/>
      <c r="EV47" s="276"/>
      <c r="EW47" s="276"/>
      <c r="EX47" s="276"/>
      <c r="EY47" s="276"/>
      <c r="EZ47" s="276"/>
      <c r="FA47" s="276"/>
      <c r="FB47" s="276"/>
      <c r="FC47" s="278"/>
      <c r="FD47" s="277"/>
      <c r="FE47" s="276"/>
      <c r="FF47" s="276"/>
      <c r="FG47" s="276"/>
      <c r="FH47" s="276"/>
      <c r="FI47" s="276"/>
      <c r="FJ47" s="276"/>
      <c r="FK47" s="276"/>
      <c r="FL47" s="276"/>
      <c r="FM47" s="278"/>
      <c r="FN47" s="277"/>
      <c r="FO47" s="276"/>
      <c r="FP47" s="276"/>
      <c r="FQ47" s="276"/>
      <c r="FR47" s="276"/>
      <c r="FS47" s="276"/>
      <c r="FT47" s="276"/>
      <c r="FU47" s="276"/>
      <c r="FV47" s="276"/>
      <c r="FW47" s="278"/>
    </row>
    <row r="48" spans="2:179" hidden="1">
      <c r="B48" s="469" t="s">
        <v>867</v>
      </c>
      <c r="C48" s="470"/>
      <c r="D48" s="470"/>
      <c r="E48" s="471"/>
      <c r="F48" s="263">
        <f>F17</f>
        <v>0</v>
      </c>
      <c r="G48" s="263">
        <f>G17</f>
        <v>0</v>
      </c>
      <c r="H48" s="264" t="s">
        <v>861</v>
      </c>
      <c r="I48" s="265" t="s">
        <v>829</v>
      </c>
      <c r="J48" s="266"/>
      <c r="K48" s="267"/>
      <c r="L48" s="268"/>
      <c r="M48" s="268"/>
      <c r="N48" s="268"/>
      <c r="O48" s="268"/>
      <c r="P48" s="268"/>
      <c r="Q48" s="268"/>
      <c r="R48" s="268"/>
      <c r="S48" s="268"/>
      <c r="T48" s="273"/>
      <c r="U48" s="268"/>
      <c r="V48" s="268"/>
      <c r="W48" s="268"/>
      <c r="X48" s="268"/>
      <c r="Y48" s="268"/>
      <c r="Z48" s="268"/>
      <c r="AA48" s="268"/>
      <c r="AB48" s="268"/>
      <c r="AC48" s="272"/>
      <c r="AD48" s="273"/>
      <c r="AE48" s="268"/>
      <c r="AF48" s="268"/>
      <c r="AG48" s="268"/>
      <c r="AH48" s="268"/>
      <c r="AI48" s="268"/>
      <c r="AJ48" s="268"/>
      <c r="AK48" s="268"/>
      <c r="AL48" s="268"/>
      <c r="AM48" s="272"/>
      <c r="AN48" s="273"/>
      <c r="AO48" s="268"/>
      <c r="AP48" s="268"/>
      <c r="AQ48" s="268"/>
      <c r="AR48" s="268"/>
      <c r="AS48" s="268"/>
      <c r="AT48" s="268"/>
      <c r="AU48" s="268"/>
      <c r="AV48" s="268"/>
      <c r="AW48" s="272"/>
      <c r="AX48" s="273"/>
      <c r="AY48" s="268"/>
      <c r="AZ48" s="268"/>
      <c r="BA48" s="268"/>
      <c r="BB48" s="268"/>
      <c r="BC48" s="268"/>
      <c r="BD48" s="268"/>
      <c r="BE48" s="268"/>
      <c r="BF48" s="268"/>
      <c r="BG48" s="272"/>
      <c r="BH48" s="273"/>
      <c r="BI48" s="268"/>
      <c r="BJ48" s="268"/>
      <c r="BK48" s="268"/>
      <c r="BL48" s="268"/>
      <c r="BM48" s="268"/>
      <c r="BN48" s="268"/>
      <c r="BO48" s="268"/>
      <c r="BP48" s="268"/>
      <c r="BQ48" s="272"/>
      <c r="BR48" s="273"/>
      <c r="BS48" s="268"/>
      <c r="BT48" s="268"/>
      <c r="BU48" s="268"/>
      <c r="BV48" s="268"/>
      <c r="BW48" s="268"/>
      <c r="BX48" s="268"/>
      <c r="BY48" s="268"/>
      <c r="BZ48" s="268"/>
      <c r="CA48" s="272"/>
      <c r="CB48" s="273"/>
      <c r="CC48" s="268"/>
      <c r="CD48" s="268"/>
      <c r="CE48" s="268"/>
      <c r="CF48" s="268"/>
      <c r="CG48" s="268"/>
      <c r="CH48" s="268"/>
      <c r="CI48" s="268"/>
      <c r="CJ48" s="268"/>
      <c r="CK48" s="272"/>
      <c r="CL48" s="273"/>
      <c r="CM48" s="268"/>
      <c r="CN48" s="268"/>
      <c r="CO48" s="268"/>
      <c r="CP48" s="268"/>
      <c r="CQ48" s="268"/>
      <c r="CR48" s="268"/>
      <c r="CS48" s="268"/>
      <c r="CT48" s="268"/>
      <c r="CU48" s="272"/>
      <c r="CV48" s="273"/>
      <c r="CW48" s="268"/>
      <c r="CX48" s="268"/>
      <c r="CY48" s="268"/>
      <c r="CZ48" s="268"/>
      <c r="DA48" s="268"/>
      <c r="DB48" s="268"/>
      <c r="DC48" s="268"/>
      <c r="DD48" s="268"/>
      <c r="DE48" s="272"/>
      <c r="DF48" s="273"/>
      <c r="DG48" s="268"/>
      <c r="DH48" s="268"/>
      <c r="DI48" s="268"/>
      <c r="DJ48" s="268"/>
      <c r="DK48" s="268"/>
      <c r="DL48" s="268"/>
      <c r="DM48" s="268"/>
      <c r="DN48" s="268"/>
      <c r="DO48" s="272"/>
      <c r="DP48" s="273"/>
      <c r="DQ48" s="268"/>
      <c r="DR48" s="268"/>
      <c r="DS48" s="268"/>
      <c r="DT48" s="268"/>
      <c r="DU48" s="268"/>
      <c r="DV48" s="268"/>
      <c r="DW48" s="268"/>
      <c r="DX48" s="268"/>
      <c r="DY48" s="272"/>
      <c r="DZ48" s="273"/>
      <c r="EA48" s="268"/>
      <c r="EB48" s="268"/>
      <c r="EC48" s="268"/>
      <c r="ED48" s="268"/>
      <c r="EE48" s="268"/>
      <c r="EF48" s="268"/>
      <c r="EG48" s="268"/>
      <c r="EH48" s="268"/>
      <c r="EI48" s="272"/>
      <c r="EJ48" s="273"/>
      <c r="EK48" s="268"/>
      <c r="EL48" s="268"/>
      <c r="EM48" s="268"/>
      <c r="EN48" s="268"/>
      <c r="EO48" s="268"/>
      <c r="EP48" s="268"/>
      <c r="EQ48" s="268"/>
      <c r="ER48" s="268"/>
      <c r="ES48" s="272"/>
      <c r="ET48" s="273"/>
      <c r="EU48" s="268"/>
      <c r="EV48" s="268"/>
      <c r="EW48" s="268"/>
      <c r="EX48" s="268"/>
      <c r="EY48" s="268"/>
      <c r="EZ48" s="268"/>
      <c r="FA48" s="268"/>
      <c r="FB48" s="268"/>
      <c r="FC48" s="272"/>
      <c r="FD48" s="273"/>
      <c r="FE48" s="268"/>
      <c r="FF48" s="268"/>
      <c r="FG48" s="268"/>
      <c r="FH48" s="268"/>
      <c r="FI48" s="268"/>
      <c r="FJ48" s="268"/>
      <c r="FK48" s="268"/>
      <c r="FL48" s="268"/>
      <c r="FM48" s="272"/>
      <c r="FN48" s="273"/>
      <c r="FO48" s="268"/>
      <c r="FP48" s="268"/>
      <c r="FQ48" s="268"/>
      <c r="FR48" s="268"/>
      <c r="FS48" s="268"/>
      <c r="FT48" s="268"/>
      <c r="FU48" s="268"/>
      <c r="FV48" s="268"/>
      <c r="FW48" s="272"/>
    </row>
    <row r="49" spans="2:179" hidden="1">
      <c r="B49" s="467"/>
      <c r="C49" s="467"/>
      <c r="D49" s="467"/>
      <c r="E49" s="468"/>
      <c r="F49" s="258"/>
      <c r="G49" s="258"/>
      <c r="H49" s="259"/>
      <c r="I49" s="260"/>
      <c r="J49" s="274"/>
      <c r="K49" s="275"/>
      <c r="L49" s="276"/>
      <c r="M49" s="276"/>
      <c r="N49" s="276"/>
      <c r="O49" s="276"/>
      <c r="P49" s="276"/>
      <c r="Q49" s="276"/>
      <c r="R49" s="276"/>
      <c r="S49" s="276"/>
      <c r="T49" s="277"/>
      <c r="U49" s="276"/>
      <c r="V49" s="276"/>
      <c r="W49" s="276"/>
      <c r="X49" s="276"/>
      <c r="Y49" s="276"/>
      <c r="Z49" s="276"/>
      <c r="AA49" s="276"/>
      <c r="AB49" s="276"/>
      <c r="AC49" s="278"/>
      <c r="AD49" s="277"/>
      <c r="AE49" s="276"/>
      <c r="AF49" s="276"/>
      <c r="AG49" s="276"/>
      <c r="AH49" s="276"/>
      <c r="AI49" s="276"/>
      <c r="AJ49" s="276"/>
      <c r="AK49" s="276"/>
      <c r="AL49" s="276"/>
      <c r="AM49" s="278"/>
      <c r="AN49" s="277"/>
      <c r="AO49" s="276"/>
      <c r="AP49" s="276"/>
      <c r="AQ49" s="276"/>
      <c r="AR49" s="276"/>
      <c r="AS49" s="276"/>
      <c r="AT49" s="276"/>
      <c r="AU49" s="276"/>
      <c r="AV49" s="276"/>
      <c r="AW49" s="278"/>
      <c r="AX49" s="277"/>
      <c r="AY49" s="276"/>
      <c r="AZ49" s="276"/>
      <c r="BA49" s="276"/>
      <c r="BB49" s="276"/>
      <c r="BC49" s="276"/>
      <c r="BD49" s="276"/>
      <c r="BE49" s="276"/>
      <c r="BF49" s="276"/>
      <c r="BG49" s="278"/>
      <c r="BH49" s="277"/>
      <c r="BI49" s="276"/>
      <c r="BJ49" s="276"/>
      <c r="BK49" s="276"/>
      <c r="BL49" s="276"/>
      <c r="BM49" s="276"/>
      <c r="BN49" s="276"/>
      <c r="BO49" s="276"/>
      <c r="BP49" s="276"/>
      <c r="BQ49" s="278"/>
      <c r="BR49" s="277"/>
      <c r="BS49" s="276"/>
      <c r="BT49" s="276"/>
      <c r="BU49" s="276"/>
      <c r="BV49" s="276"/>
      <c r="BW49" s="276"/>
      <c r="BX49" s="276"/>
      <c r="BY49" s="276"/>
      <c r="BZ49" s="276"/>
      <c r="CA49" s="278"/>
      <c r="CB49" s="277"/>
      <c r="CC49" s="276"/>
      <c r="CD49" s="276"/>
      <c r="CE49" s="276"/>
      <c r="CF49" s="276"/>
      <c r="CG49" s="276"/>
      <c r="CH49" s="276"/>
      <c r="CI49" s="276"/>
      <c r="CJ49" s="276"/>
      <c r="CK49" s="278"/>
      <c r="CL49" s="277"/>
      <c r="CM49" s="276"/>
      <c r="CN49" s="276"/>
      <c r="CO49" s="276"/>
      <c r="CP49" s="276"/>
      <c r="CQ49" s="276"/>
      <c r="CR49" s="276"/>
      <c r="CS49" s="276"/>
      <c r="CT49" s="276"/>
      <c r="CU49" s="278"/>
      <c r="CV49" s="277"/>
      <c r="CW49" s="276"/>
      <c r="CX49" s="276"/>
      <c r="CY49" s="276"/>
      <c r="CZ49" s="276"/>
      <c r="DA49" s="276"/>
      <c r="DB49" s="276"/>
      <c r="DC49" s="276"/>
      <c r="DD49" s="276"/>
      <c r="DE49" s="278"/>
      <c r="DF49" s="277"/>
      <c r="DG49" s="276"/>
      <c r="DH49" s="276"/>
      <c r="DI49" s="276"/>
      <c r="DJ49" s="276"/>
      <c r="DK49" s="276"/>
      <c r="DL49" s="276"/>
      <c r="DM49" s="276"/>
      <c r="DN49" s="276"/>
      <c r="DO49" s="278"/>
      <c r="DP49" s="277"/>
      <c r="DQ49" s="276"/>
      <c r="DR49" s="276"/>
      <c r="DS49" s="276"/>
      <c r="DT49" s="276"/>
      <c r="DU49" s="276"/>
      <c r="DV49" s="276"/>
      <c r="DW49" s="276"/>
      <c r="DX49" s="276"/>
      <c r="DY49" s="278"/>
      <c r="DZ49" s="277"/>
      <c r="EA49" s="276"/>
      <c r="EB49" s="276"/>
      <c r="EC49" s="276"/>
      <c r="ED49" s="276"/>
      <c r="EE49" s="276"/>
      <c r="EF49" s="276"/>
      <c r="EG49" s="276"/>
      <c r="EH49" s="276"/>
      <c r="EI49" s="278"/>
      <c r="EJ49" s="277"/>
      <c r="EK49" s="276"/>
      <c r="EL49" s="276"/>
      <c r="EM49" s="276"/>
      <c r="EN49" s="276"/>
      <c r="EO49" s="276"/>
      <c r="EP49" s="276"/>
      <c r="EQ49" s="276"/>
      <c r="ER49" s="276"/>
      <c r="ES49" s="278"/>
      <c r="ET49" s="277"/>
      <c r="EU49" s="276"/>
      <c r="EV49" s="276"/>
      <c r="EW49" s="276"/>
      <c r="EX49" s="276"/>
      <c r="EY49" s="276"/>
      <c r="EZ49" s="276"/>
      <c r="FA49" s="276"/>
      <c r="FB49" s="276"/>
      <c r="FC49" s="278"/>
      <c r="FD49" s="277"/>
      <c r="FE49" s="276"/>
      <c r="FF49" s="276"/>
      <c r="FG49" s="276"/>
      <c r="FH49" s="276"/>
      <c r="FI49" s="276"/>
      <c r="FJ49" s="276"/>
      <c r="FK49" s="276"/>
      <c r="FL49" s="276"/>
      <c r="FM49" s="278"/>
      <c r="FN49" s="277"/>
      <c r="FO49" s="276"/>
      <c r="FP49" s="276"/>
      <c r="FQ49" s="276"/>
      <c r="FR49" s="276"/>
      <c r="FS49" s="276"/>
      <c r="FT49" s="276"/>
      <c r="FU49" s="276"/>
      <c r="FV49" s="276"/>
      <c r="FW49" s="278"/>
    </row>
    <row r="50" spans="2:179" hidden="1">
      <c r="B50" s="469" t="s">
        <v>868</v>
      </c>
      <c r="C50" s="470"/>
      <c r="D50" s="470"/>
      <c r="E50" s="471"/>
      <c r="F50" s="263">
        <f>F11+F15</f>
        <v>17.7</v>
      </c>
      <c r="G50" s="263">
        <f>G11+G15</f>
        <v>30.1</v>
      </c>
      <c r="H50" s="264" t="s">
        <v>829</v>
      </c>
      <c r="I50" s="265" t="s">
        <v>847</v>
      </c>
      <c r="J50" s="266"/>
      <c r="K50" s="267"/>
      <c r="L50" s="268"/>
      <c r="M50" s="268"/>
      <c r="N50" s="268"/>
      <c r="O50" s="268"/>
      <c r="P50" s="268"/>
      <c r="Q50" s="268"/>
      <c r="R50" s="268"/>
      <c r="S50" s="268"/>
      <c r="T50" s="273"/>
      <c r="U50" s="268"/>
      <c r="V50" s="268"/>
      <c r="W50" s="268"/>
      <c r="X50" s="268"/>
      <c r="Y50" s="268"/>
      <c r="Z50" s="268"/>
      <c r="AA50" s="268"/>
      <c r="AB50" s="268"/>
      <c r="AC50" s="272"/>
      <c r="AD50" s="273"/>
      <c r="AE50" s="268"/>
      <c r="AF50" s="268"/>
      <c r="AG50" s="268"/>
      <c r="AH50" s="268"/>
      <c r="AI50" s="268"/>
      <c r="AJ50" s="268"/>
      <c r="AK50" s="268"/>
      <c r="AL50" s="268"/>
      <c r="AM50" s="272"/>
      <c r="AN50" s="273"/>
      <c r="AO50" s="268"/>
      <c r="AP50" s="268"/>
      <c r="AQ50" s="268"/>
      <c r="AR50" s="268"/>
      <c r="AS50" s="268"/>
      <c r="AT50" s="268"/>
      <c r="AU50" s="268"/>
      <c r="AV50" s="268"/>
      <c r="AW50" s="272"/>
      <c r="AX50" s="273"/>
      <c r="AY50" s="268"/>
      <c r="AZ50" s="268"/>
      <c r="BA50" s="268"/>
      <c r="BB50" s="268"/>
      <c r="BC50" s="268"/>
      <c r="BD50" s="268"/>
      <c r="BE50" s="268"/>
      <c r="BF50" s="268"/>
      <c r="BG50" s="272"/>
      <c r="BH50" s="273"/>
      <c r="BI50" s="268"/>
      <c r="BJ50" s="268"/>
      <c r="BK50" s="268"/>
      <c r="BL50" s="268"/>
      <c r="BM50" s="268"/>
      <c r="BN50" s="268"/>
      <c r="BO50" s="268"/>
      <c r="BP50" s="268"/>
      <c r="BQ50" s="272"/>
      <c r="BR50" s="273"/>
      <c r="BS50" s="268"/>
      <c r="BT50" s="268"/>
      <c r="BU50" s="268"/>
      <c r="BV50" s="268"/>
      <c r="BW50" s="268"/>
      <c r="BX50" s="268"/>
      <c r="BY50" s="268"/>
      <c r="BZ50" s="268"/>
      <c r="CA50" s="272"/>
      <c r="CB50" s="273"/>
      <c r="CC50" s="268"/>
      <c r="CD50" s="268"/>
      <c r="CE50" s="268"/>
      <c r="CF50" s="268"/>
      <c r="CG50" s="268"/>
      <c r="CH50" s="268"/>
      <c r="CI50" s="268"/>
      <c r="CJ50" s="268"/>
      <c r="CK50" s="272"/>
      <c r="CL50" s="273"/>
      <c r="CM50" s="268"/>
      <c r="CN50" s="268"/>
      <c r="CO50" s="268"/>
      <c r="CP50" s="268"/>
      <c r="CQ50" s="268"/>
      <c r="CR50" s="268"/>
      <c r="CS50" s="268"/>
      <c r="CT50" s="268"/>
      <c r="CU50" s="272"/>
      <c r="CV50" s="273"/>
      <c r="CW50" s="268"/>
      <c r="CX50" s="268"/>
      <c r="CY50" s="268"/>
      <c r="CZ50" s="268"/>
      <c r="DA50" s="268"/>
      <c r="DB50" s="268"/>
      <c r="DC50" s="268"/>
      <c r="DD50" s="268"/>
      <c r="DE50" s="272"/>
      <c r="DF50" s="273"/>
      <c r="DG50" s="268"/>
      <c r="DH50" s="268"/>
      <c r="DI50" s="268"/>
      <c r="DJ50" s="268"/>
      <c r="DK50" s="268"/>
      <c r="DL50" s="268"/>
      <c r="DM50" s="268"/>
      <c r="DN50" s="268"/>
      <c r="DO50" s="272"/>
      <c r="DP50" s="273"/>
      <c r="DQ50" s="268"/>
      <c r="DR50" s="268"/>
      <c r="DS50" s="268"/>
      <c r="DT50" s="268"/>
      <c r="DU50" s="268"/>
      <c r="DV50" s="268"/>
      <c r="DW50" s="268"/>
      <c r="DX50" s="268"/>
      <c r="DY50" s="272"/>
      <c r="DZ50" s="273"/>
      <c r="EA50" s="268"/>
      <c r="EB50" s="268"/>
      <c r="EC50" s="268"/>
      <c r="ED50" s="268"/>
      <c r="EE50" s="268"/>
      <c r="EF50" s="268"/>
      <c r="EG50" s="268"/>
      <c r="EH50" s="268"/>
      <c r="EI50" s="272"/>
      <c r="EJ50" s="273"/>
      <c r="EK50" s="268"/>
      <c r="EL50" s="268"/>
      <c r="EM50" s="268"/>
      <c r="EN50" s="268"/>
      <c r="EO50" s="268"/>
      <c r="EP50" s="268"/>
      <c r="EQ50" s="268"/>
      <c r="ER50" s="268"/>
      <c r="ES50" s="272"/>
      <c r="ET50" s="273"/>
      <c r="EU50" s="268"/>
      <c r="EV50" s="268"/>
      <c r="EW50" s="268"/>
      <c r="EX50" s="268"/>
      <c r="EY50" s="268"/>
      <c r="EZ50" s="268"/>
      <c r="FA50" s="268"/>
      <c r="FB50" s="268"/>
      <c r="FC50" s="272"/>
      <c r="FD50" s="273"/>
      <c r="FE50" s="268"/>
      <c r="FF50" s="268"/>
      <c r="FG50" s="268"/>
      <c r="FH50" s="268"/>
      <c r="FI50" s="268"/>
      <c r="FJ50" s="268"/>
      <c r="FK50" s="268"/>
      <c r="FL50" s="268"/>
      <c r="FM50" s="272"/>
      <c r="FN50" s="273"/>
      <c r="FO50" s="268"/>
      <c r="FP50" s="268"/>
      <c r="FQ50" s="268"/>
      <c r="FR50" s="268"/>
      <c r="FS50" s="268"/>
      <c r="FT50" s="268"/>
      <c r="FU50" s="268"/>
      <c r="FV50" s="268"/>
      <c r="FW50" s="272"/>
    </row>
    <row r="51" spans="2:179" hidden="1">
      <c r="B51" s="467"/>
      <c r="C51" s="467"/>
      <c r="D51" s="467"/>
      <c r="E51" s="468"/>
      <c r="F51" s="258"/>
      <c r="G51" s="258"/>
      <c r="H51" s="259"/>
      <c r="I51" s="260"/>
      <c r="J51" s="274"/>
      <c r="K51" s="275"/>
      <c r="L51" s="276"/>
      <c r="M51" s="276"/>
      <c r="N51" s="276"/>
      <c r="O51" s="276"/>
      <c r="P51" s="276"/>
      <c r="Q51" s="276"/>
      <c r="R51" s="276"/>
      <c r="S51" s="276"/>
      <c r="T51" s="277"/>
      <c r="U51" s="276"/>
      <c r="V51" s="276"/>
      <c r="W51" s="276"/>
      <c r="X51" s="276"/>
      <c r="Y51" s="276"/>
      <c r="Z51" s="276"/>
      <c r="AA51" s="276"/>
      <c r="AB51" s="276"/>
      <c r="AC51" s="278"/>
      <c r="AD51" s="277"/>
      <c r="AE51" s="276"/>
      <c r="AF51" s="276"/>
      <c r="AG51" s="276"/>
      <c r="AH51" s="276"/>
      <c r="AI51" s="276"/>
      <c r="AJ51" s="276"/>
      <c r="AK51" s="276"/>
      <c r="AL51" s="276"/>
      <c r="AM51" s="278"/>
      <c r="AN51" s="277"/>
      <c r="AO51" s="276"/>
      <c r="AP51" s="276"/>
      <c r="AQ51" s="276"/>
      <c r="AR51" s="276"/>
      <c r="AS51" s="276"/>
      <c r="AT51" s="276"/>
      <c r="AU51" s="276"/>
      <c r="AV51" s="276"/>
      <c r="AW51" s="278"/>
      <c r="AX51" s="277"/>
      <c r="AY51" s="276"/>
      <c r="AZ51" s="276"/>
      <c r="BA51" s="276"/>
      <c r="BB51" s="276"/>
      <c r="BC51" s="276"/>
      <c r="BD51" s="276"/>
      <c r="BE51" s="276"/>
      <c r="BF51" s="276"/>
      <c r="BG51" s="278"/>
      <c r="BH51" s="277"/>
      <c r="BI51" s="276"/>
      <c r="BJ51" s="276"/>
      <c r="BK51" s="276"/>
      <c r="BL51" s="276"/>
      <c r="BM51" s="276"/>
      <c r="BN51" s="276"/>
      <c r="BO51" s="276"/>
      <c r="BP51" s="276"/>
      <c r="BQ51" s="278"/>
      <c r="BR51" s="277"/>
      <c r="BS51" s="276"/>
      <c r="BT51" s="276"/>
      <c r="BU51" s="276"/>
      <c r="BV51" s="276"/>
      <c r="BW51" s="276"/>
      <c r="BX51" s="276"/>
      <c r="BY51" s="276"/>
      <c r="BZ51" s="276"/>
      <c r="CA51" s="278"/>
      <c r="CB51" s="277"/>
      <c r="CC51" s="276"/>
      <c r="CD51" s="276"/>
      <c r="CE51" s="276"/>
      <c r="CF51" s="276"/>
      <c r="CG51" s="276"/>
      <c r="CH51" s="276"/>
      <c r="CI51" s="276"/>
      <c r="CJ51" s="276"/>
      <c r="CK51" s="278"/>
      <c r="CL51" s="277"/>
      <c r="CM51" s="276"/>
      <c r="CN51" s="276"/>
      <c r="CO51" s="276"/>
      <c r="CP51" s="276"/>
      <c r="CQ51" s="276"/>
      <c r="CR51" s="276"/>
      <c r="CS51" s="276"/>
      <c r="CT51" s="276"/>
      <c r="CU51" s="278"/>
      <c r="CV51" s="277"/>
      <c r="CW51" s="276"/>
      <c r="CX51" s="276"/>
      <c r="CY51" s="276"/>
      <c r="CZ51" s="276"/>
      <c r="DA51" s="276"/>
      <c r="DB51" s="276"/>
      <c r="DC51" s="276"/>
      <c r="DD51" s="276"/>
      <c r="DE51" s="278"/>
      <c r="DF51" s="277"/>
      <c r="DG51" s="276"/>
      <c r="DH51" s="276"/>
      <c r="DI51" s="276"/>
      <c r="DJ51" s="276"/>
      <c r="DK51" s="276"/>
      <c r="DL51" s="276"/>
      <c r="DM51" s="276"/>
      <c r="DN51" s="276"/>
      <c r="DO51" s="278"/>
      <c r="DP51" s="277"/>
      <c r="DQ51" s="276"/>
      <c r="DR51" s="276"/>
      <c r="DS51" s="276"/>
      <c r="DT51" s="276"/>
      <c r="DU51" s="276"/>
      <c r="DV51" s="276"/>
      <c r="DW51" s="276"/>
      <c r="DX51" s="276"/>
      <c r="DY51" s="278"/>
      <c r="DZ51" s="277"/>
      <c r="EA51" s="276"/>
      <c r="EB51" s="276"/>
      <c r="EC51" s="276"/>
      <c r="ED51" s="276"/>
      <c r="EE51" s="276"/>
      <c r="EF51" s="276"/>
      <c r="EG51" s="276"/>
      <c r="EH51" s="276"/>
      <c r="EI51" s="278"/>
      <c r="EJ51" s="277"/>
      <c r="EK51" s="276"/>
      <c r="EL51" s="276"/>
      <c r="EM51" s="276"/>
      <c r="EN51" s="276"/>
      <c r="EO51" s="276"/>
      <c r="EP51" s="276"/>
      <c r="EQ51" s="276"/>
      <c r="ER51" s="276"/>
      <c r="ES51" s="278"/>
      <c r="ET51" s="277"/>
      <c r="EU51" s="276"/>
      <c r="EV51" s="276"/>
      <c r="EW51" s="276"/>
      <c r="EX51" s="276"/>
      <c r="EY51" s="276"/>
      <c r="EZ51" s="276"/>
      <c r="FA51" s="276"/>
      <c r="FB51" s="276"/>
      <c r="FC51" s="278"/>
      <c r="FD51" s="277"/>
      <c r="FE51" s="276"/>
      <c r="FF51" s="276"/>
      <c r="FG51" s="276"/>
      <c r="FH51" s="276"/>
      <c r="FI51" s="276"/>
      <c r="FJ51" s="276"/>
      <c r="FK51" s="276"/>
      <c r="FL51" s="276"/>
      <c r="FM51" s="278"/>
      <c r="FN51" s="277"/>
      <c r="FO51" s="276"/>
      <c r="FP51" s="276"/>
      <c r="FQ51" s="276"/>
      <c r="FR51" s="276"/>
      <c r="FS51" s="276"/>
      <c r="FT51" s="276"/>
      <c r="FU51" s="276"/>
      <c r="FV51" s="276"/>
      <c r="FW51" s="278"/>
    </row>
    <row r="53" spans="2:179">
      <c r="C53" s="220" t="s">
        <v>869</v>
      </c>
    </row>
    <row r="54" spans="2:179">
      <c r="C54" s="220" t="s">
        <v>870</v>
      </c>
    </row>
    <row r="55" spans="2:179">
      <c r="C55" s="220" t="s">
        <v>871</v>
      </c>
    </row>
  </sheetData>
  <mergeCells count="47">
    <mergeCell ref="B11:E11"/>
    <mergeCell ref="B6:E6"/>
    <mergeCell ref="B7:E7"/>
    <mergeCell ref="B8:E8"/>
    <mergeCell ref="B9:E9"/>
    <mergeCell ref="B10:E10"/>
    <mergeCell ref="B23:E23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34:E34"/>
    <mergeCell ref="B24:E24"/>
    <mergeCell ref="B25:E25"/>
    <mergeCell ref="B26:E26"/>
    <mergeCell ref="B27:C27"/>
    <mergeCell ref="D27:E27"/>
    <mergeCell ref="D28:E28"/>
    <mergeCell ref="D29:E29"/>
    <mergeCell ref="D30:E30"/>
    <mergeCell ref="B31:E31"/>
    <mergeCell ref="B32:E32"/>
    <mergeCell ref="B33:E33"/>
    <mergeCell ref="B46:E46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7:E47"/>
    <mergeCell ref="B48:E48"/>
    <mergeCell ref="B49:E49"/>
    <mergeCell ref="B50:E50"/>
    <mergeCell ref="B51:E5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67</vt:i4>
      </vt:variant>
    </vt:vector>
  </HeadingPairs>
  <TitlesOfParts>
    <vt:vector size="73" baseType="lpstr">
      <vt:lpstr>基本 (1)</vt:lpstr>
      <vt:lpstr>日数 (1)</vt:lpstr>
      <vt:lpstr>クレーン (1)</vt:lpstr>
      <vt:lpstr>日数表 (1)</vt:lpstr>
      <vt:lpstr>工事費 (1)</vt:lpstr>
      <vt:lpstr>工程 (2)</vt:lpstr>
      <vt:lpstr>'工事費 (1)'!Cel一覧_ベント基礎工_数量</vt:lpstr>
      <vt:lpstr>'工事費 (1)'!Cel一覧_ベント基礎工_単価</vt:lpstr>
      <vt:lpstr>'工事費 (1)'!Cel一覧_ベント設備工_数量</vt:lpstr>
      <vt:lpstr>'工事費 (1)'!Cel一覧_ベント設備工_単価</vt:lpstr>
      <vt:lpstr>'工事費 (1)'!Cel一覧_沓据付工_数量</vt:lpstr>
      <vt:lpstr>'工事費 (1)'!Cel一覧_沓据付工_単価</vt:lpstr>
      <vt:lpstr>'工事費 (1)'!Cel一覧_継手部現場塗装工_数量</vt:lpstr>
      <vt:lpstr>'工事費 (1)'!Cel一覧_継手部現場塗装工_単価</vt:lpstr>
      <vt:lpstr>'工事費 (1)'!Cel一覧_桁架設工_数量</vt:lpstr>
      <vt:lpstr>'工事費 (1)'!Cel一覧_桁架設工_単価</vt:lpstr>
      <vt:lpstr>'工事費 (1)'!Cel一覧_現場継手部溶接工_数量</vt:lpstr>
      <vt:lpstr>'工事費 (1)'!Cel一覧_現場継手部溶接工_単価</vt:lpstr>
      <vt:lpstr>'工事費 (1)'!Cel一覧_高力ボルト本締工_数量</vt:lpstr>
      <vt:lpstr>'工事費 (1)'!Cel一覧_高力ボルト本締工_単価</vt:lpstr>
      <vt:lpstr>'工事費 (1)'!Cel一覧_重機分解組立運搬費_金額計</vt:lpstr>
      <vt:lpstr>'工事費 (1)'!Cel一覧_重機分解組立運搬費_数量</vt:lpstr>
      <vt:lpstr>'工事費 (1)'!Cel一覧_重機分解組立運搬費_単価</vt:lpstr>
      <vt:lpstr>'工事費 (1)'!Cel一覧_足場工_数量</vt:lpstr>
      <vt:lpstr>'工事費 (1)'!Cel一覧_足場工_単価</vt:lpstr>
      <vt:lpstr>'工事費 (1)'!Cel一覧_地組溶接架台設備工_数量</vt:lpstr>
      <vt:lpstr>'工事費 (1)'!Cel一覧_地組溶接架台設備工_単価</vt:lpstr>
      <vt:lpstr>'工事費 (1)'!Cel一覧_地組立工_数量</vt:lpstr>
      <vt:lpstr>'工事費 (1)'!Cel一覧_地組立工_単価</vt:lpstr>
      <vt:lpstr>'工事費 (1)'!Cel一覧_溶接用ケーシング設備工_数量</vt:lpstr>
      <vt:lpstr>'工事費 (1)'!Cel一覧_溶接用ケーシング設備工_単価</vt:lpstr>
      <vt:lpstr>'工事費 (1)'!Cel一覧_落橋防止装置工_数量</vt:lpstr>
      <vt:lpstr>'工事費 (1)'!Cel一覧_落橋防止装置工_単価</vt:lpstr>
      <vt:lpstr>'工事費 (1)'!Cel工事_ベント基礎工_金額計</vt:lpstr>
      <vt:lpstr>'工事費 (1)'!Cel工事_ベント基礎工_数量計</vt:lpstr>
      <vt:lpstr>'工事費 (1)'!Cel工事_ベント基礎工_単価</vt:lpstr>
      <vt:lpstr>'工事費 (1)'!Cel工事_ベント設備工_金額計</vt:lpstr>
      <vt:lpstr>'工事費 (1)'!Cel工事_ベント設備工_数量計</vt:lpstr>
      <vt:lpstr>'工事費 (1)'!Cel工事_ベント設備工_単価</vt:lpstr>
      <vt:lpstr>'工事費 (1)'!Cel工事_沓据付工_金額計</vt:lpstr>
      <vt:lpstr>'工事費 (1)'!Cel工事_沓据付工_数量計</vt:lpstr>
      <vt:lpstr>'工事費 (1)'!Cel工事_沓据付工_単価</vt:lpstr>
      <vt:lpstr>'工事費 (1)'!Cel工事_継手部現場塗装工_金額計</vt:lpstr>
      <vt:lpstr>'工事費 (1)'!Cel工事_継手部現場塗装工_数量_素地調整工</vt:lpstr>
      <vt:lpstr>'工事費 (1)'!Cel工事_継手部現場塗装工_数量計</vt:lpstr>
      <vt:lpstr>'工事費 (1)'!Cel工事_継手部現場塗装工_単価</vt:lpstr>
      <vt:lpstr>'工事費 (1)'!Cel工事_桁架設工_金額計</vt:lpstr>
      <vt:lpstr>'工事費 (1)'!Cel工事_桁架設工_数量計</vt:lpstr>
      <vt:lpstr>'工事費 (1)'!Cel工事_桁架設工_単価</vt:lpstr>
      <vt:lpstr>'工事費 (1)'!Cel工事_検査費_数量計</vt:lpstr>
      <vt:lpstr>'工事費 (1)'!Cel工事_現場継手部溶接工_金額計</vt:lpstr>
      <vt:lpstr>'工事費 (1)'!Cel工事_現場継手部溶接工_数量計</vt:lpstr>
      <vt:lpstr>'工事費 (1)'!Cel工事_現場継手部溶接工_単価</vt:lpstr>
      <vt:lpstr>'工事費 (1)'!Cel工事_高力ボルト本締工_金額計</vt:lpstr>
      <vt:lpstr>'工事費 (1)'!Cel工事_高力ボルト本締工_数量計</vt:lpstr>
      <vt:lpstr>'工事費 (1)'!Cel工事_高力ボルト本締工_単価</vt:lpstr>
      <vt:lpstr>'工事費 (1)'!Cel工事_足場工_金額_計</vt:lpstr>
      <vt:lpstr>'工事費 (1)'!Cel工事_足場工_数量_Ａ</vt:lpstr>
      <vt:lpstr>'工事費 (1)'!Cel工事_足場工_数量計</vt:lpstr>
      <vt:lpstr>'工事費 (1)'!Cel工事_足場工_単価</vt:lpstr>
      <vt:lpstr>'工事費 (1)'!Cel工事_地組溶接架台設備工_金額計</vt:lpstr>
      <vt:lpstr>'工事費 (1)'!Cel工事_地組溶接架台設備工_数量計</vt:lpstr>
      <vt:lpstr>'工事費 (1)'!Cel工事_地組溶接架台設備工_単価</vt:lpstr>
      <vt:lpstr>'工事費 (1)'!Cel工事_地組立工_金額計</vt:lpstr>
      <vt:lpstr>'工事費 (1)'!Cel工事_地組立工_数量計</vt:lpstr>
      <vt:lpstr>'工事費 (1)'!Cel工事_地組立工_単価</vt:lpstr>
      <vt:lpstr>'工事費 (1)'!Cel工事_溶接用ケーシング設備工_金額計</vt:lpstr>
      <vt:lpstr>'工事費 (1)'!Cel工事_溶接用ケーシング設備工_数量計</vt:lpstr>
      <vt:lpstr>'工事費 (1)'!Cel工事_溶接用ケーシング設備工_単価</vt:lpstr>
      <vt:lpstr>'工事費 (1)'!Cel工事_落橋防止装置工_金額計</vt:lpstr>
      <vt:lpstr>'工事費 (1)'!Cel工事_落橋防止装置工_数量計</vt:lpstr>
      <vt:lpstr>'工事費 (1)'!Cel工事_落橋防止装置工_単価</vt:lpstr>
      <vt:lpstr>'工事費 (1)'!GenbaYousetuKensahi_Goukei</vt:lpstr>
    </vt:vector>
  </TitlesOfParts>
  <Company>横河ブリッジ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2020-10-20T07:14:44Z</cp:lastPrinted>
  <dcterms:created xsi:type="dcterms:W3CDTF">2020-10-20T07:04:08Z</dcterms:created>
  <dcterms:modified xsi:type="dcterms:W3CDTF">2020-10-20T07:16:05Z</dcterms:modified>
</cp:coreProperties>
</file>