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.hukuura\Desktop\"/>
    </mc:Choice>
  </mc:AlternateContent>
  <bookViews>
    <workbookView xWindow="0" yWindow="0" windowWidth="18225" windowHeight="7845"/>
  </bookViews>
  <sheets>
    <sheet name="基本 (1)" sheetId="1" r:id="rId1"/>
    <sheet name="日数 (1)" sheetId="2" r:id="rId2"/>
    <sheet name="クレーン (1)" sheetId="3" r:id="rId3"/>
    <sheet name="日数表 (1)" sheetId="4" r:id="rId4"/>
    <sheet name="工事費 (1)" sheetId="5" r:id="rId5"/>
    <sheet name="工程 (1)" sheetId="6" r:id="rId6"/>
  </sheets>
  <externalReferences>
    <externalReference r:id="rId7"/>
  </externalReferences>
  <definedNames>
    <definedName name="Cel一覧_沓据付工_数量" localSheetId="4">'工事費 (1)'!$H$28</definedName>
    <definedName name="Cel一覧_沓据付工_単価" localSheetId="4">'工事費 (1)'!$I$28</definedName>
    <definedName name="Cel一覧_継手部現場塗装工_数量" localSheetId="4">'工事費 (1)'!$H$32</definedName>
    <definedName name="Cel一覧_継手部現場塗装工_単価" localSheetId="4">'工事費 (1)'!$I$32</definedName>
    <definedName name="Cel一覧_桁架設工横桁組立工_数量" localSheetId="4">'工事費 (1)'!$H$24</definedName>
    <definedName name="Cel一覧_桁架設工横桁組立工_単価" localSheetId="4">'工事費 (1)'!$I$24</definedName>
    <definedName name="Cel一覧_桁架設工主桁横取り工_数量" localSheetId="4">'工事費 (1)'!$H$23</definedName>
    <definedName name="Cel一覧_桁架設工主桁横取り工_単価" localSheetId="4">'工事費 (1)'!$I$23</definedName>
    <definedName name="Cel一覧_桁架設工主桁降下工_数量" localSheetId="4">'工事費 (1)'!$H$22</definedName>
    <definedName name="Cel一覧_桁架設工主桁降下工_単価" localSheetId="4">'工事費 (1)'!$I$22</definedName>
    <definedName name="Cel一覧_桁架設工主桁組立工_数量" localSheetId="4">'工事費 (1)'!$H$20</definedName>
    <definedName name="Cel一覧_桁架設工主桁組立工_単価" localSheetId="4">'工事費 (1)'!$I$20</definedName>
    <definedName name="Cel一覧_桁架設工主桁送出し工_数量" localSheetId="4">'工事費 (1)'!$H$21</definedName>
    <definedName name="Cel一覧_桁架設工主桁送出し工_単価" localSheetId="4">'工事費 (1)'!$I$21</definedName>
    <definedName name="Cel一覧_桁端処理工_数量" localSheetId="4">'工事費 (1)'!$H$33</definedName>
    <definedName name="Cel一覧_桁端処理工_単価" localSheetId="4">'工事費 (1)'!$I$33</definedName>
    <definedName name="Cel一覧_現場継手部溶接工_数量" localSheetId="4">'工事費 (1)'!$H$26</definedName>
    <definedName name="Cel一覧_現場継手部溶接工_単価" localSheetId="4">'工事費 (1)'!$I$26</definedName>
    <definedName name="Cel一覧_高力ボルト本締工_数量" localSheetId="4">'工事費 (1)'!$H$29</definedName>
    <definedName name="Cel一覧_高力ボルト本締工_単価" localSheetId="4">'工事費 (1)'!$I$29</definedName>
    <definedName name="Cel一覧_重機分解組立運搬費_金額計" localSheetId="4">'工事費 (1)'!$N$333</definedName>
    <definedName name="Cel一覧_重機分解組立運搬費_数量" localSheetId="4">'工事費 (1)'!$H$25</definedName>
    <definedName name="Cel一覧_重機分解組立運搬費_単価" localSheetId="4">'工事費 (1)'!$I$25</definedName>
    <definedName name="Cel一覧_送出しヤード工ベント基礎工_数量" localSheetId="4">'工事費 (1)'!$H$8</definedName>
    <definedName name="Cel一覧_送出しヤード工ベント基礎工_単価" localSheetId="4">'工事費 (1)'!$I$8</definedName>
    <definedName name="Cel一覧_送出しヤード工ベント設備工_数量" localSheetId="4">'工事費 (1)'!$H$9</definedName>
    <definedName name="Cel一覧_送出しヤード工ベント設備工_単価" localSheetId="4">'工事費 (1)'!$I$9</definedName>
    <definedName name="Cel一覧_送出しヤード工基礎砕石工_数量" localSheetId="4">'工事費 (1)'!$H$7</definedName>
    <definedName name="Cel一覧_送出しヤード工基礎砕石工_単価" localSheetId="4">'工事費 (1)'!$I$7</definedName>
    <definedName name="Cel一覧_送出しヤード工軌条桁工_数量" localSheetId="4">'工事費 (1)'!$H$10</definedName>
    <definedName name="Cel一覧_送出しヤード工軌条桁工_単価" localSheetId="4">'工事費 (1)'!$I$10</definedName>
    <definedName name="Cel一覧_送出しヤード工軌条設備工_数量" localSheetId="4">'工事費 (1)'!$H$11</definedName>
    <definedName name="Cel一覧_送出しヤード工軌条設備工_単価" localSheetId="4">'工事費 (1)'!$I$11</definedName>
    <definedName name="Cel一覧_送出し設備工降下設備工_数量" localSheetId="4">'工事費 (1)'!$H$17</definedName>
    <definedName name="Cel一覧_送出し設備工降下設備工_単価" localSheetId="4">'工事費 (1)'!$I$17</definedName>
    <definedName name="Cel一覧_送出し設備工手延機・連結構設備工_数量" localSheetId="4">'工事費 (1)'!$H$13</definedName>
    <definedName name="Cel一覧_送出し設備工手延機・連結構設備工_単価" localSheetId="4">'工事費 (1)'!$I$13</definedName>
    <definedName name="Cel一覧_送出し設備工送出し装置設備工_数量" localSheetId="4">'工事費 (1)'!$H$15</definedName>
    <definedName name="Cel一覧_送出し設備工送出し装置設備工_単価" localSheetId="4">'工事費 (1)'!$I$15</definedName>
    <definedName name="Cel一覧_送出し設備工台車設備工_数量" localSheetId="4">'工事費 (1)'!$H$14</definedName>
    <definedName name="Cel一覧_送出し設備工台車設備工_単価" localSheetId="4">'工事費 (1)'!$I$14</definedName>
    <definedName name="Cel一覧_足場工_数量" localSheetId="4">'工事費 (1)'!$H$31</definedName>
    <definedName name="Cel一覧_足場工_単価" localSheetId="4">'工事費 (1)'!$I$31</definedName>
    <definedName name="Cel一覧_落橋防止装置工_数量" localSheetId="4">'工事費 (1)'!$H$30</definedName>
    <definedName name="Cel一覧_落橋防止装置工_単価" localSheetId="4">'工事費 (1)'!$I$30</definedName>
    <definedName name="Cel工事_沓据付工_金額計" localSheetId="4">'工事費 (1)'!$N$389</definedName>
    <definedName name="Cel工事_沓据付工_所用日数_ケーブルクレーン" localSheetId="4">'工事費 (1)'!$R$380</definedName>
    <definedName name="Cel工事_沓据付工_所用日数_トラッククレーン" localSheetId="4">'工事費 (1)'!$R$377</definedName>
    <definedName name="Cel工事_沓据付工_数量計" localSheetId="4">'工事費 (1)'!$K$389</definedName>
    <definedName name="Cel工事_沓据付工_単価" localSheetId="4">'工事費 (1)'!$L$389</definedName>
    <definedName name="Cel工事_継手部現場塗装工_数量_素地調整工" localSheetId="4">'工事費 (1)'!$K$467</definedName>
    <definedName name="Cel工事_継手部現場塗装工_数量計" localSheetId="4">'工事費 (1)'!$K$476</definedName>
    <definedName name="Cel工事_継手部現場塗装工_単価" localSheetId="4">'工事費 (1)'!$L$476</definedName>
    <definedName name="Cel工事_桁架設工横桁組立工_数量計" localSheetId="4">'工事費 (1)'!$K$324</definedName>
    <definedName name="Cel工事_桁架設工横桁組立工_単価" localSheetId="4">'工事費 (1)'!$L$324</definedName>
    <definedName name="Cel工事_桁架設工主桁横取り工_数量計" localSheetId="4">'工事費 (1)'!$K$311</definedName>
    <definedName name="Cel工事_桁架設工主桁横取り工_単価" localSheetId="4">'工事費 (1)'!$L$311</definedName>
    <definedName name="Cel工事_桁架設工主桁降下工_金額計" localSheetId="4">'工事費 (1)'!$N$301</definedName>
    <definedName name="Cel工事_桁架設工主桁降下工_受け点" localSheetId="4">'工事費 (1)'!$R$294</definedName>
    <definedName name="Cel工事_桁架設工主桁降下工_数量計" localSheetId="4">'工事費 (1)'!$K$301</definedName>
    <definedName name="Cel工事_桁架設工主桁降下工_単価" localSheetId="4">'工事費 (1)'!$L$301</definedName>
    <definedName name="Cel工事_桁架設工主桁組立工_金額計" localSheetId="4">'工事費 (1)'!$N$244</definedName>
    <definedName name="Cel工事_桁架設工主桁組立工_数量計" localSheetId="4">'工事費 (1)'!$K$244</definedName>
    <definedName name="Cel工事_桁架設工主桁組立工_単価" localSheetId="4">'工事費 (1)'!$L$244</definedName>
    <definedName name="Cel工事_桁架設工主桁送出し工_金額計" localSheetId="4">'工事費 (1)'!$N$260</definedName>
    <definedName name="Cel工事_桁架設工主桁送出し工_受け点" localSheetId="4">'工事費 (1)'!$R$253</definedName>
    <definedName name="Cel工事_桁架設工主桁送出し工_所用日数" localSheetId="4">'工事費 (1)'!$R$255</definedName>
    <definedName name="Cel工事_桁架設工主桁送出し工_数量_橋梁特殊工" localSheetId="4">'工事費 (1)'!$K$256</definedName>
    <definedName name="Cel工事_桁架設工主桁送出し工_数量計" localSheetId="4">'工事費 (1)'!$K$260</definedName>
    <definedName name="Cel工事_桁架設工主桁送出し工_単価" localSheetId="4">'工事費 (1)'!$L$260</definedName>
    <definedName name="Cel工事_桁架設工主桁送出し工数量根拠_労務編成_橋梁世話役" localSheetId="4">'工事費 (1)'!$G$265</definedName>
    <definedName name="Cel工事_桁架設工主桁送出し工数量根拠_労務編成_橋梁特殊工" localSheetId="4">'工事費 (1)'!$I$265</definedName>
    <definedName name="Cel工事_桁端処理工_金額計" localSheetId="4">'工事費 (1)'!$N$487</definedName>
    <definedName name="Cel工事_桁端処理工_数量計" localSheetId="4">'工事費 (1)'!$K$487</definedName>
    <definedName name="Cel工事_桁端処理工_単価" localSheetId="4">'工事費 (1)'!$L$487</definedName>
    <definedName name="Cel工事_検査費_数量計" localSheetId="4">'工事費 (1)'!$K$523</definedName>
    <definedName name="Cel工事_検査費_単価" localSheetId="4">'工事費 (1)'!$L$523</definedName>
    <definedName name="Cel工事_現場継手部溶接工_金額計" localSheetId="4">'工事費 (1)'!$N$343</definedName>
    <definedName name="Cel工事_現場継手部溶接工_数量計" localSheetId="4">'工事費 (1)'!$K$343</definedName>
    <definedName name="Cel工事_現場継手部溶接工_単価" localSheetId="4">'工事費 (1)'!$L$343</definedName>
    <definedName name="Cel工事_高力ボルト本締工_金額計" localSheetId="4">'工事費 (1)'!$N$400</definedName>
    <definedName name="Cel工事_高力ボルト本締工_数量計" localSheetId="4">'工事費 (1)'!$K$400</definedName>
    <definedName name="Cel工事_高力ボルト本締工_単価" localSheetId="4">'工事費 (1)'!$L$400</definedName>
    <definedName name="Cel工事_送出しヤード工ベント基礎工_数量計" localSheetId="4">'工事費 (1)'!$K$69</definedName>
    <definedName name="Cel工事_送出しヤード工ベント基礎工_単価" localSheetId="4">'工事費 (1)'!$L$69</definedName>
    <definedName name="Cel工事_送出しヤード工ベント設備工_数量計" localSheetId="4">'工事費 (1)'!$K$84</definedName>
    <definedName name="Cel工事_送出しヤード工ベント設備工_単価" localSheetId="4">'工事費 (1)'!$L$84</definedName>
    <definedName name="Cel工事_送出しヤード工基礎砕石工_金額計" localSheetId="4">'工事費 (1)'!$N$50</definedName>
    <definedName name="Cel工事_送出しヤード工基礎砕石工_数量計" localSheetId="4">'工事費 (1)'!$K$50</definedName>
    <definedName name="Cel工事_送出しヤード工基礎砕石工_単価" localSheetId="4">'工事費 (1)'!$L$50</definedName>
    <definedName name="Cel工事_送出しヤード工軌条桁工_金額計" localSheetId="4">'工事費 (1)'!$N$98</definedName>
    <definedName name="Cel工事_送出しヤード工軌条桁工_数量計" localSheetId="4">'工事費 (1)'!$K$98</definedName>
    <definedName name="Cel工事_送出しヤード工軌条桁工_単価" localSheetId="4">'工事費 (1)'!$L$98</definedName>
    <definedName name="Cel工事_送出しヤード工軌条設備工_金額計" localSheetId="4">'工事費 (1)'!$N$112</definedName>
    <definedName name="Cel工事_送出しヤード工軌条設備工_数量計" localSheetId="4">'工事費 (1)'!$K$112</definedName>
    <definedName name="Cel工事_送出しヤード工軌条設備工_単価" localSheetId="4">'工事費 (1)'!$L$112</definedName>
    <definedName name="Cel工事_送出し設備工降下設備工_金額計" localSheetId="4">'工事費 (1)'!$N$200</definedName>
    <definedName name="Cel工事_送出し設備工降下設備工_数量計" localSheetId="4">'工事費 (1)'!$K$200</definedName>
    <definedName name="Cel工事_送出し設備工降下設備工_単価" localSheetId="4">'工事費 (1)'!$L$200</definedName>
    <definedName name="Cel工事_送出し設備工手延機・連結構設備工_金額計" localSheetId="4">'工事費 (1)'!$N$138</definedName>
    <definedName name="Cel工事_送出し設備工手延機・連結構設備工_数量計" localSheetId="4">'工事費 (1)'!$K$138</definedName>
    <definedName name="Cel工事_送出し設備工手延機・連結構設備工_単価" localSheetId="4">'工事費 (1)'!$L$138</definedName>
    <definedName name="Cel工事_送出し設備工送出し装置設備工_金額計" localSheetId="4">'工事費 (1)'!$N$171</definedName>
    <definedName name="Cel工事_送出し設備工送出し装置設備工_数量計" localSheetId="4">'工事費 (1)'!$K$171</definedName>
    <definedName name="Cel工事_送出し設備工送出し装置設備工_単価" localSheetId="4">'工事費 (1)'!$L$171</definedName>
    <definedName name="Cel工事_送出し設備工台車設備工_金額計" localSheetId="4">'工事費 (1)'!$N$152</definedName>
    <definedName name="Cel工事_送出し設備工台車設備工_数量計" localSheetId="4">'工事費 (1)'!$K$152</definedName>
    <definedName name="Cel工事_送出し設備工台車設備工_単価" localSheetId="4">'工事費 (1)'!$L$152</definedName>
    <definedName name="Cel工事_足場工_金額計" localSheetId="4">'工事費 (1)'!$N$441</definedName>
    <definedName name="Cel工事_足場工_数量_架設区間Ａ" localSheetId="4">'工事費 (1)'!$K$417</definedName>
    <definedName name="Cel工事_足場工_数量計" localSheetId="4">'工事費 (1)'!$J$441</definedName>
    <definedName name="Cel工事_足場工_単価" localSheetId="4">'工事費 (1)'!$L$441</definedName>
    <definedName name="Cel工事_落橋防止装置工_金額計" localSheetId="4">'工事費 (1)'!$N$412</definedName>
    <definedName name="Cel工事_落橋防止装置工_数量計" localSheetId="4">'工事費 (1)'!$K$412</definedName>
    <definedName name="Cel工事_落橋防止装置工_単価" localSheetId="4">'工事費 (1)'!$L$412</definedName>
    <definedName name="GenbaYousetuKensahi_Goukei" localSheetId="4">'工事費 (1)'!$N$523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8" i="6" l="1"/>
  <c r="G96" i="6"/>
  <c r="G94" i="6"/>
  <c r="G92" i="6"/>
  <c r="G90" i="6"/>
  <c r="G88" i="6"/>
  <c r="G86" i="6"/>
  <c r="G84" i="6"/>
  <c r="G82" i="6"/>
  <c r="G80" i="6"/>
  <c r="G78" i="6"/>
  <c r="G76" i="6"/>
  <c r="G74" i="6"/>
  <c r="G72" i="6"/>
  <c r="G70" i="6"/>
  <c r="G68" i="6"/>
  <c r="G66" i="6"/>
  <c r="G61" i="6"/>
  <c r="F61" i="6"/>
  <c r="G59" i="6"/>
  <c r="F59" i="6"/>
  <c r="G57" i="6"/>
  <c r="F57" i="6"/>
  <c r="G55" i="6"/>
  <c r="I56" i="6" s="1"/>
  <c r="F55" i="6"/>
  <c r="G53" i="6"/>
  <c r="I54" i="6" s="1"/>
  <c r="F53" i="6"/>
  <c r="G51" i="6"/>
  <c r="I52" i="6" s="1"/>
  <c r="F51" i="6"/>
  <c r="G49" i="6"/>
  <c r="F49" i="6"/>
  <c r="G47" i="6"/>
  <c r="F47" i="6"/>
  <c r="F45" i="6"/>
  <c r="G45" i="6" s="1"/>
  <c r="G43" i="6"/>
  <c r="I44" i="6" s="1"/>
  <c r="F43" i="6"/>
  <c r="G41" i="6"/>
  <c r="F41" i="6"/>
  <c r="F39" i="6"/>
  <c r="G39" i="6" s="1"/>
  <c r="G37" i="6"/>
  <c r="F37" i="6"/>
  <c r="G35" i="6"/>
  <c r="F35" i="6"/>
  <c r="G33" i="6"/>
  <c r="F33" i="6"/>
  <c r="F31" i="6"/>
  <c r="G31" i="6" s="1"/>
  <c r="I30" i="6"/>
  <c r="I29" i="6"/>
  <c r="G29" i="6"/>
  <c r="F29" i="6"/>
  <c r="F27" i="6"/>
  <c r="G27" i="6" s="1"/>
  <c r="G25" i="6"/>
  <c r="I26" i="6" s="1"/>
  <c r="F25" i="6"/>
  <c r="F23" i="6"/>
  <c r="G23" i="6" s="1"/>
  <c r="G21" i="6"/>
  <c r="I22" i="6" s="1"/>
  <c r="F21" i="6"/>
  <c r="F19" i="6"/>
  <c r="G19" i="6" s="1"/>
  <c r="G17" i="6"/>
  <c r="I18" i="6" s="1"/>
  <c r="F17" i="6"/>
  <c r="F15" i="6"/>
  <c r="G15" i="6" s="1"/>
  <c r="G13" i="6"/>
  <c r="I14" i="6" s="1"/>
  <c r="F13" i="6"/>
  <c r="F11" i="6"/>
  <c r="G11" i="6" s="1"/>
  <c r="G9" i="6"/>
  <c r="I10" i="6" s="1"/>
  <c r="F9" i="6"/>
  <c r="F7" i="6"/>
  <c r="G7" i="6" s="1"/>
  <c r="K523" i="5"/>
  <c r="P522" i="5"/>
  <c r="T522" i="5" s="1"/>
  <c r="K522" i="5" s="1"/>
  <c r="N522" i="5" s="1"/>
  <c r="N521" i="5"/>
  <c r="L521" i="5"/>
  <c r="K521" i="5"/>
  <c r="M519" i="5"/>
  <c r="N516" i="5"/>
  <c r="K515" i="5"/>
  <c r="N515" i="5" s="1"/>
  <c r="T514" i="5"/>
  <c r="K514" i="5" s="1"/>
  <c r="N514" i="5" s="1"/>
  <c r="P514" i="5"/>
  <c r="T513" i="5"/>
  <c r="K513" i="5"/>
  <c r="N507" i="5"/>
  <c r="T505" i="5"/>
  <c r="K506" i="5" s="1"/>
  <c r="N506" i="5" s="1"/>
  <c r="P505" i="5"/>
  <c r="N505" i="5"/>
  <c r="K505" i="5"/>
  <c r="T504" i="5"/>
  <c r="K504" i="5"/>
  <c r="N498" i="5"/>
  <c r="T497" i="5"/>
  <c r="K498" i="5" s="1"/>
  <c r="P497" i="5"/>
  <c r="N495" i="5"/>
  <c r="K495" i="5"/>
  <c r="K494" i="5"/>
  <c r="K493" i="5"/>
  <c r="K492" i="5"/>
  <c r="K487" i="5"/>
  <c r="P484" i="5"/>
  <c r="T484" i="5" s="1"/>
  <c r="K482" i="5"/>
  <c r="R481" i="5"/>
  <c r="K481" i="5" s="1"/>
  <c r="K476" i="5"/>
  <c r="W475" i="5"/>
  <c r="N475" i="5"/>
  <c r="L475" i="5"/>
  <c r="W474" i="5"/>
  <c r="L474" i="5" s="1"/>
  <c r="N474" i="5" s="1"/>
  <c r="W472" i="5"/>
  <c r="L472" i="5" s="1"/>
  <c r="W471" i="5"/>
  <c r="L471" i="5" s="1"/>
  <c r="W470" i="5"/>
  <c r="L470" i="5" s="1"/>
  <c r="K470" i="5"/>
  <c r="N470" i="5" s="1"/>
  <c r="W469" i="5"/>
  <c r="L469" i="5" s="1"/>
  <c r="R467" i="5"/>
  <c r="K467" i="5" s="1"/>
  <c r="K472" i="5" s="1"/>
  <c r="N472" i="5" s="1"/>
  <c r="O463" i="5"/>
  <c r="M457" i="5"/>
  <c r="M451" i="5"/>
  <c r="O451" i="5" s="1"/>
  <c r="L425" i="5" s="1"/>
  <c r="O448" i="5"/>
  <c r="M448" i="5"/>
  <c r="M454" i="5" s="1"/>
  <c r="O454" i="5" s="1"/>
  <c r="L428" i="5" s="1"/>
  <c r="M445" i="5"/>
  <c r="O445" i="5" s="1"/>
  <c r="L419" i="5" s="1"/>
  <c r="J441" i="5"/>
  <c r="L439" i="5"/>
  <c r="K439" i="5"/>
  <c r="K438" i="5"/>
  <c r="K435" i="5"/>
  <c r="K431" i="5"/>
  <c r="K430" i="5"/>
  <c r="K434" i="5" s="1"/>
  <c r="L422" i="5"/>
  <c r="K418" i="5"/>
  <c r="K417" i="5"/>
  <c r="K424" i="5" s="1"/>
  <c r="K412" i="5"/>
  <c r="N411" i="5"/>
  <c r="L408" i="5"/>
  <c r="N406" i="5"/>
  <c r="R405" i="5"/>
  <c r="K406" i="5" s="1"/>
  <c r="K400" i="5"/>
  <c r="T397" i="5"/>
  <c r="K398" i="5" s="1"/>
  <c r="N398" i="5" s="1"/>
  <c r="P397" i="5"/>
  <c r="K397" i="5"/>
  <c r="N397" i="5" s="1"/>
  <c r="K396" i="5"/>
  <c r="K395" i="5"/>
  <c r="R394" i="5"/>
  <c r="K394" i="5"/>
  <c r="K389" i="5"/>
  <c r="P387" i="5"/>
  <c r="W387" i="5" s="1"/>
  <c r="N387" i="5" s="1"/>
  <c r="L383" i="5"/>
  <c r="K381" i="5"/>
  <c r="R380" i="5"/>
  <c r="K380" i="5" s="1"/>
  <c r="L378" i="5"/>
  <c r="R377" i="5"/>
  <c r="K383" i="5" s="1"/>
  <c r="N383" i="5" s="1"/>
  <c r="T371" i="5"/>
  <c r="K371" i="5" s="1"/>
  <c r="N371" i="5" s="1"/>
  <c r="P371" i="5"/>
  <c r="G370" i="5"/>
  <c r="L369" i="5"/>
  <c r="G369" i="5"/>
  <c r="N368" i="5"/>
  <c r="L367" i="5"/>
  <c r="R366" i="5"/>
  <c r="K367" i="5" s="1"/>
  <c r="N367" i="5" s="1"/>
  <c r="K366" i="5"/>
  <c r="N361" i="5"/>
  <c r="L341" i="5" s="1"/>
  <c r="N341" i="5" s="1"/>
  <c r="N360" i="5"/>
  <c r="N359" i="5"/>
  <c r="N358" i="5"/>
  <c r="N354" i="5"/>
  <c r="K349" i="5"/>
  <c r="W348" i="5"/>
  <c r="K348" i="5" s="1"/>
  <c r="R348" i="5"/>
  <c r="L346" i="5"/>
  <c r="R349" i="5" s="1"/>
  <c r="W349" i="5" s="1"/>
  <c r="K343" i="5"/>
  <c r="K341" i="5"/>
  <c r="L340" i="5"/>
  <c r="K340" i="5"/>
  <c r="N340" i="5" s="1"/>
  <c r="L339" i="5"/>
  <c r="K339" i="5"/>
  <c r="N339" i="5" s="1"/>
  <c r="R338" i="5"/>
  <c r="K338" i="5"/>
  <c r="L330" i="5"/>
  <c r="L329" i="5"/>
  <c r="K324" i="5"/>
  <c r="P321" i="5"/>
  <c r="T321" i="5" s="1"/>
  <c r="N319" i="5"/>
  <c r="K319" i="5"/>
  <c r="N318" i="5"/>
  <c r="L318" i="5"/>
  <c r="K318" i="5"/>
  <c r="L317" i="5"/>
  <c r="N317" i="5" s="1"/>
  <c r="K317" i="5"/>
  <c r="K316" i="5"/>
  <c r="K311" i="5"/>
  <c r="T308" i="5"/>
  <c r="P308" i="5"/>
  <c r="L307" i="5"/>
  <c r="K307" i="5"/>
  <c r="N307" i="5" s="1"/>
  <c r="L306" i="5"/>
  <c r="K306" i="5"/>
  <c r="K301" i="5"/>
  <c r="L297" i="5"/>
  <c r="R296" i="5"/>
  <c r="H296" i="5"/>
  <c r="R294" i="5"/>
  <c r="H297" i="5" s="1"/>
  <c r="M290" i="5"/>
  <c r="E290" i="5"/>
  <c r="E289" i="5"/>
  <c r="M289" i="5" s="1"/>
  <c r="E288" i="5"/>
  <c r="M288" i="5" s="1"/>
  <c r="I285" i="5"/>
  <c r="G285" i="5"/>
  <c r="I283" i="5"/>
  <c r="G283" i="5"/>
  <c r="I281" i="5"/>
  <c r="G281" i="5"/>
  <c r="I279" i="5"/>
  <c r="G279" i="5"/>
  <c r="I277" i="5"/>
  <c r="G277" i="5"/>
  <c r="E277" i="5"/>
  <c r="M277" i="5" s="1"/>
  <c r="I275" i="5"/>
  <c r="G275" i="5"/>
  <c r="E275" i="5"/>
  <c r="M275" i="5" s="1"/>
  <c r="I273" i="5"/>
  <c r="G273" i="5"/>
  <c r="I271" i="5"/>
  <c r="G271" i="5"/>
  <c r="E271" i="5"/>
  <c r="I269" i="5"/>
  <c r="G269" i="5"/>
  <c r="I267" i="5"/>
  <c r="G267" i="5"/>
  <c r="E267" i="5"/>
  <c r="K267" i="5" s="1"/>
  <c r="E265" i="5"/>
  <c r="E283" i="5" s="1"/>
  <c r="K260" i="5"/>
  <c r="H21" i="5" s="1"/>
  <c r="N256" i="5"/>
  <c r="L256" i="5"/>
  <c r="R255" i="5"/>
  <c r="L255" i="5"/>
  <c r="H255" i="5"/>
  <c r="K255" i="5" s="1"/>
  <c r="N255" i="5" s="1"/>
  <c r="R253" i="5"/>
  <c r="H256" i="5" s="1"/>
  <c r="K256" i="5" s="1"/>
  <c r="P257" i="5" s="1"/>
  <c r="T257" i="5" s="1"/>
  <c r="H247" i="5"/>
  <c r="H250" i="5" s="1"/>
  <c r="O250" i="5" s="1"/>
  <c r="L242" i="5" s="1"/>
  <c r="N242" i="5" s="1"/>
  <c r="K244" i="5"/>
  <c r="H20" i="5" s="1"/>
  <c r="K242" i="5"/>
  <c r="K241" i="5"/>
  <c r="L236" i="5"/>
  <c r="L494" i="5" s="1"/>
  <c r="N494" i="5" s="1"/>
  <c r="L235" i="5"/>
  <c r="L406" i="5" s="1"/>
  <c r="K235" i="5"/>
  <c r="N235" i="5" s="1"/>
  <c r="R234" i="5"/>
  <c r="K237" i="5" s="1"/>
  <c r="L234" i="5"/>
  <c r="L394" i="5" s="1"/>
  <c r="N394" i="5" s="1"/>
  <c r="K227" i="5"/>
  <c r="N227" i="5" s="1"/>
  <c r="T226" i="5"/>
  <c r="K226" i="5" s="1"/>
  <c r="N226" i="5" s="1"/>
  <c r="P226" i="5"/>
  <c r="L224" i="5"/>
  <c r="U223" i="5"/>
  <c r="L223" i="5" s="1"/>
  <c r="N223" i="5" s="1"/>
  <c r="P223" i="5"/>
  <c r="K223" i="5"/>
  <c r="L222" i="5"/>
  <c r="N221" i="5"/>
  <c r="L221" i="5"/>
  <c r="K221" i="5"/>
  <c r="R220" i="5"/>
  <c r="K224" i="5" s="1"/>
  <c r="N224" i="5" s="1"/>
  <c r="L220" i="5"/>
  <c r="K220" i="5"/>
  <c r="N220" i="5" s="1"/>
  <c r="L209" i="5"/>
  <c r="N209" i="5" s="1"/>
  <c r="L208" i="5"/>
  <c r="N208" i="5" s="1"/>
  <c r="K208" i="5"/>
  <c r="K209" i="5" s="1"/>
  <c r="L207" i="5"/>
  <c r="L206" i="5"/>
  <c r="R205" i="5"/>
  <c r="L205" i="5"/>
  <c r="K200" i="5"/>
  <c r="K198" i="5"/>
  <c r="N198" i="5" s="1"/>
  <c r="T197" i="5"/>
  <c r="K197" i="5" s="1"/>
  <c r="N197" i="5" s="1"/>
  <c r="P197" i="5"/>
  <c r="L195" i="5"/>
  <c r="K195" i="5"/>
  <c r="N195" i="5" s="1"/>
  <c r="N194" i="5"/>
  <c r="P193" i="5"/>
  <c r="L193" i="5" s="1"/>
  <c r="N193" i="5" s="1"/>
  <c r="K193" i="5"/>
  <c r="N192" i="5"/>
  <c r="L192" i="5"/>
  <c r="K192" i="5"/>
  <c r="N191" i="5"/>
  <c r="L191" i="5"/>
  <c r="K191" i="5"/>
  <c r="R190" i="5"/>
  <c r="L190" i="5"/>
  <c r="N190" i="5" s="1"/>
  <c r="K190" i="5"/>
  <c r="P182" i="5"/>
  <c r="T182" i="5" s="1"/>
  <c r="N180" i="5"/>
  <c r="N179" i="5"/>
  <c r="L179" i="5"/>
  <c r="L178" i="5"/>
  <c r="K178" i="5"/>
  <c r="N178" i="5" s="1"/>
  <c r="L177" i="5"/>
  <c r="K177" i="5"/>
  <c r="N177" i="5" s="1"/>
  <c r="L176" i="5"/>
  <c r="N176" i="5" s="1"/>
  <c r="K176" i="5"/>
  <c r="X166" i="5"/>
  <c r="V166" i="5"/>
  <c r="K166" i="5" s="1"/>
  <c r="R166" i="5"/>
  <c r="L166" i="5"/>
  <c r="L165" i="5"/>
  <c r="L164" i="5"/>
  <c r="K164" i="5"/>
  <c r="K165" i="5" s="1"/>
  <c r="N165" i="5" s="1"/>
  <c r="P163" i="5"/>
  <c r="L163" i="5" s="1"/>
  <c r="N163" i="5" s="1"/>
  <c r="K163" i="5"/>
  <c r="T162" i="5"/>
  <c r="K162" i="5" s="1"/>
  <c r="N162" i="5" s="1"/>
  <c r="L161" i="5"/>
  <c r="N161" i="5" s="1"/>
  <c r="N160" i="5"/>
  <c r="L160" i="5"/>
  <c r="L159" i="5"/>
  <c r="K159" i="5"/>
  <c r="L158" i="5"/>
  <c r="R157" i="5"/>
  <c r="K157" i="5" s="1"/>
  <c r="K152" i="5"/>
  <c r="L147" i="5"/>
  <c r="R146" i="5"/>
  <c r="P146" i="5"/>
  <c r="L146" i="5"/>
  <c r="N146" i="5" s="1"/>
  <c r="K146" i="5"/>
  <c r="L145" i="5"/>
  <c r="L144" i="5"/>
  <c r="R143" i="5"/>
  <c r="L143" i="5"/>
  <c r="K138" i="5"/>
  <c r="K132" i="5"/>
  <c r="N132" i="5" s="1"/>
  <c r="W131" i="5"/>
  <c r="P131" i="5"/>
  <c r="L131" i="5"/>
  <c r="N131" i="5" s="1"/>
  <c r="K131" i="5"/>
  <c r="L130" i="5"/>
  <c r="L129" i="5"/>
  <c r="R128" i="5"/>
  <c r="P135" i="5" s="1"/>
  <c r="T135" i="5" s="1"/>
  <c r="L128" i="5"/>
  <c r="L121" i="5"/>
  <c r="P119" i="5"/>
  <c r="L119" i="5" s="1"/>
  <c r="N119" i="5" s="1"/>
  <c r="K119" i="5"/>
  <c r="R118" i="5"/>
  <c r="K120" i="5" s="1"/>
  <c r="N120" i="5" s="1"/>
  <c r="P118" i="5"/>
  <c r="N118" i="5"/>
  <c r="L118" i="5"/>
  <c r="K118" i="5"/>
  <c r="K121" i="5" s="1"/>
  <c r="N121" i="5" s="1"/>
  <c r="R117" i="5"/>
  <c r="P117" i="5"/>
  <c r="L117" i="5"/>
  <c r="K117" i="5"/>
  <c r="N117" i="5" s="1"/>
  <c r="K112" i="5"/>
  <c r="L107" i="5"/>
  <c r="U106" i="5"/>
  <c r="L106" i="5" s="1"/>
  <c r="N106" i="5" s="1"/>
  <c r="P106" i="5"/>
  <c r="K106" i="5"/>
  <c r="L105" i="5"/>
  <c r="N104" i="5"/>
  <c r="L104" i="5"/>
  <c r="K104" i="5"/>
  <c r="R103" i="5"/>
  <c r="K107" i="5" s="1"/>
  <c r="L103" i="5"/>
  <c r="N103" i="5" s="1"/>
  <c r="K103" i="5"/>
  <c r="K98" i="5"/>
  <c r="P95" i="5"/>
  <c r="T95" i="5" s="1"/>
  <c r="L93" i="5"/>
  <c r="K93" i="5"/>
  <c r="P92" i="5"/>
  <c r="U92" i="5" s="1"/>
  <c r="L92" i="5" s="1"/>
  <c r="N92" i="5" s="1"/>
  <c r="K92" i="5"/>
  <c r="G92" i="5"/>
  <c r="N91" i="5"/>
  <c r="L91" i="5"/>
  <c r="N90" i="5"/>
  <c r="L90" i="5"/>
  <c r="K90" i="5"/>
  <c r="R89" i="5"/>
  <c r="K91" i="5" s="1"/>
  <c r="L89" i="5"/>
  <c r="N89" i="5" s="1"/>
  <c r="K89" i="5"/>
  <c r="K84" i="5"/>
  <c r="H9" i="5" s="1"/>
  <c r="K9" i="5" s="1"/>
  <c r="N82" i="5"/>
  <c r="K82" i="5"/>
  <c r="P81" i="5"/>
  <c r="T81" i="5" s="1"/>
  <c r="K81" i="5" s="1"/>
  <c r="N81" i="5" s="1"/>
  <c r="N79" i="5"/>
  <c r="K79" i="5"/>
  <c r="U78" i="5"/>
  <c r="R78" i="5"/>
  <c r="K78" i="5"/>
  <c r="P77" i="5"/>
  <c r="P78" i="5" s="1"/>
  <c r="L78" i="5" s="1"/>
  <c r="N78" i="5" s="1"/>
  <c r="K77" i="5"/>
  <c r="N76" i="5"/>
  <c r="L76" i="5"/>
  <c r="K76" i="5"/>
  <c r="L75" i="5"/>
  <c r="N75" i="5" s="1"/>
  <c r="K75" i="5"/>
  <c r="N74" i="5"/>
  <c r="L74" i="5"/>
  <c r="K74" i="5"/>
  <c r="K69" i="5"/>
  <c r="R68" i="5"/>
  <c r="N68" i="5"/>
  <c r="L68" i="5"/>
  <c r="N66" i="5"/>
  <c r="K66" i="5"/>
  <c r="N65" i="5"/>
  <c r="L65" i="5"/>
  <c r="K65" i="5"/>
  <c r="L64" i="5"/>
  <c r="K64" i="5"/>
  <c r="N64" i="5" s="1"/>
  <c r="N63" i="5"/>
  <c r="L63" i="5"/>
  <c r="K63" i="5"/>
  <c r="L56" i="5"/>
  <c r="N56" i="5" s="1"/>
  <c r="N55" i="5"/>
  <c r="N54" i="5"/>
  <c r="N58" i="5" s="1"/>
  <c r="L46" i="5" s="1"/>
  <c r="L54" i="5"/>
  <c r="K50" i="5"/>
  <c r="R48" i="5"/>
  <c r="K48" i="5" s="1"/>
  <c r="N48" i="5" s="1"/>
  <c r="K46" i="5"/>
  <c r="N46" i="5" s="1"/>
  <c r="N45" i="5"/>
  <c r="L45" i="5"/>
  <c r="K45" i="5"/>
  <c r="N44" i="5"/>
  <c r="L44" i="5"/>
  <c r="K44" i="5"/>
  <c r="R43" i="5"/>
  <c r="K43" i="5" s="1"/>
  <c r="N43" i="5"/>
  <c r="L43" i="5"/>
  <c r="I38" i="5"/>
  <c r="H35" i="5"/>
  <c r="H33" i="5"/>
  <c r="K32" i="5"/>
  <c r="I32" i="5"/>
  <c r="H32" i="5"/>
  <c r="H31" i="5"/>
  <c r="H30" i="5"/>
  <c r="H29" i="5"/>
  <c r="H28" i="5"/>
  <c r="H26" i="5"/>
  <c r="I24" i="5"/>
  <c r="H24" i="5"/>
  <c r="K24" i="5" s="1"/>
  <c r="I23" i="5"/>
  <c r="K23" i="5" s="1"/>
  <c r="H23" i="5"/>
  <c r="H22" i="5"/>
  <c r="H17" i="5"/>
  <c r="H15" i="5"/>
  <c r="H14" i="5"/>
  <c r="H13" i="5"/>
  <c r="H11" i="5"/>
  <c r="H10" i="5"/>
  <c r="I9" i="5"/>
  <c r="I8" i="5"/>
  <c r="H8" i="5"/>
  <c r="K8" i="5" s="1"/>
  <c r="H7" i="5"/>
  <c r="BK45" i="4"/>
  <c r="BK46" i="4" s="1"/>
  <c r="BK47" i="4" s="1"/>
  <c r="AY45" i="4"/>
  <c r="AY46" i="4" s="1"/>
  <c r="AU45" i="4"/>
  <c r="AU46" i="4" s="1"/>
  <c r="AS45" i="4"/>
  <c r="AS46" i="4" s="1"/>
  <c r="AQ45" i="4"/>
  <c r="AQ46" i="4" s="1"/>
  <c r="AO45" i="4"/>
  <c r="AO46" i="4" s="1"/>
  <c r="AM45" i="4"/>
  <c r="AM46" i="4" s="1"/>
  <c r="AK45" i="4"/>
  <c r="AK46" i="4" s="1"/>
  <c r="AI45" i="4"/>
  <c r="AI46" i="4" s="1"/>
  <c r="Q45" i="4"/>
  <c r="Q46" i="4" s="1"/>
  <c r="BI43" i="4"/>
  <c r="BG43" i="4"/>
  <c r="BE43" i="4"/>
  <c r="BC43" i="4"/>
  <c r="BA43" i="4"/>
  <c r="AW43" i="4"/>
  <c r="AG43" i="4"/>
  <c r="AE43" i="4"/>
  <c r="AC43" i="4"/>
  <c r="AA43" i="4"/>
  <c r="Y43" i="4"/>
  <c r="W43" i="4"/>
  <c r="U43" i="4"/>
  <c r="S43" i="4"/>
  <c r="O43" i="4"/>
  <c r="K43" i="4"/>
  <c r="BG39" i="4"/>
  <c r="O39" i="4"/>
  <c r="K39" i="4"/>
  <c r="BG38" i="4"/>
  <c r="O38" i="4"/>
  <c r="K38" i="4"/>
  <c r="BG37" i="4"/>
  <c r="O37" i="4"/>
  <c r="K37" i="4"/>
  <c r="O36" i="4"/>
  <c r="K36" i="4"/>
  <c r="BE35" i="4"/>
  <c r="O35" i="4"/>
  <c r="K35" i="4"/>
  <c r="BI34" i="4"/>
  <c r="O34" i="4"/>
  <c r="K34" i="4"/>
  <c r="BI33" i="4"/>
  <c r="BG33" i="4"/>
  <c r="BE33" i="4"/>
  <c r="O33" i="4"/>
  <c r="K33" i="4"/>
  <c r="BO32" i="4"/>
  <c r="BM32" i="4"/>
  <c r="BI32" i="4"/>
  <c r="BG32" i="4"/>
  <c r="BE32" i="4"/>
  <c r="BC32" i="4"/>
  <c r="BA32" i="4"/>
  <c r="AW32" i="4"/>
  <c r="AG32" i="4"/>
  <c r="AE32" i="4"/>
  <c r="AC32" i="4"/>
  <c r="AA32" i="4"/>
  <c r="Y32" i="4"/>
  <c r="W32" i="4"/>
  <c r="U32" i="4"/>
  <c r="S32" i="4"/>
  <c r="O32" i="4"/>
  <c r="K32" i="4"/>
  <c r="BI31" i="4"/>
  <c r="BG31" i="4"/>
  <c r="BE31" i="4"/>
  <c r="BC31" i="4"/>
  <c r="AW31" i="4"/>
  <c r="Y31" i="4"/>
  <c r="W31" i="4"/>
  <c r="U31" i="4"/>
  <c r="S31" i="4"/>
  <c r="O31" i="4"/>
  <c r="K31" i="4"/>
  <c r="BO30" i="4"/>
  <c r="BM30" i="4"/>
  <c r="BI30" i="4"/>
  <c r="BG30" i="4"/>
  <c r="BE30" i="4"/>
  <c r="BC30" i="4"/>
  <c r="BA30" i="4"/>
  <c r="AW30" i="4"/>
  <c r="AG30" i="4"/>
  <c r="AE30" i="4"/>
  <c r="AC30" i="4"/>
  <c r="AA30" i="4"/>
  <c r="Y30" i="4"/>
  <c r="W30" i="4"/>
  <c r="U30" i="4"/>
  <c r="S30" i="4"/>
  <c r="O30" i="4"/>
  <c r="K30" i="4"/>
  <c r="BO29" i="4"/>
  <c r="BM29" i="4"/>
  <c r="BI29" i="4"/>
  <c r="BG29" i="4"/>
  <c r="BE29" i="4"/>
  <c r="BC29" i="4"/>
  <c r="BA29" i="4"/>
  <c r="AW29" i="4"/>
  <c r="AG29" i="4"/>
  <c r="AE29" i="4"/>
  <c r="AC29" i="4"/>
  <c r="AA29" i="4"/>
  <c r="Y29" i="4"/>
  <c r="W29" i="4"/>
  <c r="U29" i="4"/>
  <c r="S29" i="4"/>
  <c r="O29" i="4"/>
  <c r="K29" i="4"/>
  <c r="O28" i="4"/>
  <c r="K28" i="4"/>
  <c r="O25" i="4"/>
  <c r="K25" i="4"/>
  <c r="BO24" i="4"/>
  <c r="BM24" i="4"/>
  <c r="AG24" i="4"/>
  <c r="AE24" i="4"/>
  <c r="AC24" i="4"/>
  <c r="AA24" i="4"/>
  <c r="O24" i="4"/>
  <c r="K24" i="4"/>
  <c r="BO23" i="4"/>
  <c r="BM23" i="4"/>
  <c r="AG23" i="4"/>
  <c r="AE23" i="4"/>
  <c r="AC23" i="4"/>
  <c r="AA23" i="4"/>
  <c r="O23" i="4"/>
  <c r="K23" i="4"/>
  <c r="K22" i="4" s="1"/>
  <c r="BI22" i="4"/>
  <c r="BG22" i="4"/>
  <c r="BG45" i="4" s="1"/>
  <c r="BG46" i="4" s="1"/>
  <c r="BG47" i="4" s="1"/>
  <c r="BE22" i="4"/>
  <c r="BC22" i="4"/>
  <c r="BA22" i="4"/>
  <c r="AW22" i="4"/>
  <c r="Y22" i="4"/>
  <c r="W22" i="4"/>
  <c r="U22" i="4"/>
  <c r="S22" i="4"/>
  <c r="O22" i="4"/>
  <c r="BO21" i="4"/>
  <c r="BO45" i="4" s="1"/>
  <c r="BO46" i="4" s="1"/>
  <c r="BM21" i="4"/>
  <c r="BM45" i="4" s="1"/>
  <c r="BM46" i="4" s="1"/>
  <c r="BI21" i="4"/>
  <c r="BE21" i="4"/>
  <c r="BC21" i="4"/>
  <c r="BA21" i="4"/>
  <c r="AW21" i="4"/>
  <c r="AG21" i="4"/>
  <c r="AE21" i="4"/>
  <c r="AC21" i="4"/>
  <c r="AA21" i="4"/>
  <c r="Y21" i="4"/>
  <c r="W21" i="4"/>
  <c r="U21" i="4"/>
  <c r="S21" i="4"/>
  <c r="O21" i="4"/>
  <c r="K21" i="4"/>
  <c r="BI20" i="4"/>
  <c r="BE20" i="4"/>
  <c r="BC20" i="4"/>
  <c r="AW20" i="4"/>
  <c r="U20" i="4"/>
  <c r="S20" i="4"/>
  <c r="O20" i="4"/>
  <c r="K20" i="4"/>
  <c r="BA19" i="4"/>
  <c r="O19" i="4"/>
  <c r="O17" i="4" s="1"/>
  <c r="K19" i="4"/>
  <c r="K17" i="4" s="1"/>
  <c r="BI17" i="4"/>
  <c r="BE17" i="4"/>
  <c r="BC17" i="4"/>
  <c r="AW17" i="4"/>
  <c r="Y17" i="4"/>
  <c r="W17" i="4"/>
  <c r="U17" i="4"/>
  <c r="S17" i="4"/>
  <c r="BA16" i="4"/>
  <c r="BA45" i="4" s="1"/>
  <c r="BA46" i="4" s="1"/>
  <c r="AG16" i="4"/>
  <c r="AE16" i="4"/>
  <c r="AC16" i="4"/>
  <c r="AA16" i="4"/>
  <c r="Y16" i="4"/>
  <c r="O16" i="4"/>
  <c r="K16" i="4"/>
  <c r="Y15" i="4"/>
  <c r="Y45" i="4" s="1"/>
  <c r="Y46" i="4" s="1"/>
  <c r="O15" i="4"/>
  <c r="O13" i="4" s="1"/>
  <c r="K15" i="4"/>
  <c r="AG14" i="4"/>
  <c r="AG45" i="4" s="1"/>
  <c r="AG46" i="4" s="1"/>
  <c r="AE14" i="4"/>
  <c r="AE45" i="4" s="1"/>
  <c r="AE46" i="4" s="1"/>
  <c r="AC14" i="4"/>
  <c r="AC45" i="4" s="1"/>
  <c r="AC46" i="4" s="1"/>
  <c r="AA14" i="4"/>
  <c r="AA45" i="4" s="1"/>
  <c r="AA46" i="4" s="1"/>
  <c r="O14" i="4"/>
  <c r="K14" i="4"/>
  <c r="BI13" i="4"/>
  <c r="BE13" i="4"/>
  <c r="BC13" i="4"/>
  <c r="AW13" i="4"/>
  <c r="AW45" i="4" s="1"/>
  <c r="AW46" i="4" s="1"/>
  <c r="W13" i="4"/>
  <c r="W45" i="4" s="1"/>
  <c r="W46" i="4" s="1"/>
  <c r="U13" i="4"/>
  <c r="S13" i="4"/>
  <c r="K13" i="4"/>
  <c r="U12" i="4"/>
  <c r="U45" i="4" s="1"/>
  <c r="U46" i="4" s="1"/>
  <c r="S12" i="4"/>
  <c r="O12" i="4"/>
  <c r="K12" i="4"/>
  <c r="S11" i="4"/>
  <c r="S45" i="4" s="1"/>
  <c r="S46" i="4" s="1"/>
  <c r="O11" i="4"/>
  <c r="K11" i="4"/>
  <c r="O8" i="4"/>
  <c r="O7" i="4" s="1"/>
  <c r="O45" i="4" s="1"/>
  <c r="K8" i="4"/>
  <c r="K7" i="4" s="1"/>
  <c r="K45" i="4" s="1"/>
  <c r="BI7" i="4"/>
  <c r="BI45" i="4" s="1"/>
  <c r="BI46" i="4" s="1"/>
  <c r="BI47" i="4" s="1"/>
  <c r="BE7" i="4"/>
  <c r="BE45" i="4" s="1"/>
  <c r="BE46" i="4" s="1"/>
  <c r="BE47" i="4" s="1"/>
  <c r="BC7" i="4"/>
  <c r="BC45" i="4" s="1"/>
  <c r="BC46" i="4" s="1"/>
  <c r="D90" i="3"/>
  <c r="E90" i="3" s="1"/>
  <c r="D83" i="3"/>
  <c r="E83" i="3" s="1"/>
  <c r="H72" i="3"/>
  <c r="L72" i="3" s="1"/>
  <c r="O72" i="3" s="1"/>
  <c r="M65" i="3"/>
  <c r="O63" i="3"/>
  <c r="P56" i="3"/>
  <c r="D61" i="3" s="1"/>
  <c r="K65" i="3" s="1"/>
  <c r="J54" i="3"/>
  <c r="H54" i="3"/>
  <c r="L54" i="3" s="1"/>
  <c r="P54" i="3" s="1"/>
  <c r="O44" i="3"/>
  <c r="L44" i="3"/>
  <c r="H44" i="3"/>
  <c r="N30" i="3"/>
  <c r="H29" i="3" s="1"/>
  <c r="L29" i="3" s="1"/>
  <c r="O29" i="3" s="1"/>
  <c r="L30" i="3"/>
  <c r="J30" i="3"/>
  <c r="O20" i="3"/>
  <c r="M20" i="3"/>
  <c r="M22" i="3" s="1"/>
  <c r="D18" i="3"/>
  <c r="K22" i="3" s="1"/>
  <c r="K14" i="3"/>
  <c r="R13" i="3"/>
  <c r="P13" i="3"/>
  <c r="F8" i="3"/>
  <c r="D8" i="3"/>
  <c r="D10" i="3" s="1"/>
  <c r="F905" i="2"/>
  <c r="D907" i="2" s="1"/>
  <c r="J907" i="2" s="1"/>
  <c r="H912" i="2" s="1"/>
  <c r="F894" i="2"/>
  <c r="D896" i="2" s="1"/>
  <c r="J896" i="2" s="1"/>
  <c r="F912" i="2" s="1"/>
  <c r="D886" i="2"/>
  <c r="M880" i="2"/>
  <c r="F886" i="2" s="1"/>
  <c r="F871" i="2"/>
  <c r="D871" i="2"/>
  <c r="I871" i="2" s="1"/>
  <c r="F874" i="2" s="1"/>
  <c r="H874" i="2" s="1"/>
  <c r="G855" i="2"/>
  <c r="I855" i="2" s="1"/>
  <c r="O855" i="2" s="1"/>
  <c r="E848" i="2"/>
  <c r="G851" i="2" s="1"/>
  <c r="I851" i="2" s="1"/>
  <c r="E863" i="2" s="1"/>
  <c r="E835" i="2"/>
  <c r="O839" i="2" s="1"/>
  <c r="Q811" i="2"/>
  <c r="O811" i="2"/>
  <c r="M811" i="2"/>
  <c r="L803" i="2"/>
  <c r="N803" i="2" s="1"/>
  <c r="M807" i="2" s="1"/>
  <c r="Q807" i="2" s="1"/>
  <c r="E815" i="2" s="1"/>
  <c r="K769" i="2"/>
  <c r="I769" i="2"/>
  <c r="M769" i="2" s="1"/>
  <c r="K760" i="2"/>
  <c r="C762" i="2" s="1"/>
  <c r="F750" i="2"/>
  <c r="D750" i="2"/>
  <c r="D752" i="2" s="1"/>
  <c r="G742" i="2"/>
  <c r="F735" i="2"/>
  <c r="G723" i="2"/>
  <c r="D735" i="2" s="1"/>
  <c r="D737" i="2" s="1"/>
  <c r="F711" i="2"/>
  <c r="J716" i="2" s="1"/>
  <c r="J709" i="2"/>
  <c r="F705" i="2"/>
  <c r="F716" i="2" s="1"/>
  <c r="J703" i="2"/>
  <c r="I694" i="2"/>
  <c r="D716" i="2" s="1"/>
  <c r="F687" i="2"/>
  <c r="D687" i="2"/>
  <c r="D689" i="2" s="1"/>
  <c r="E660" i="2"/>
  <c r="E659" i="2"/>
  <c r="E658" i="2"/>
  <c r="F653" i="2"/>
  <c r="L649" i="2"/>
  <c r="J649" i="2"/>
  <c r="H649" i="2"/>
  <c r="F649" i="2"/>
  <c r="F651" i="2" s="1"/>
  <c r="D640" i="2"/>
  <c r="J633" i="2"/>
  <c r="D633" i="2"/>
  <c r="H628" i="2"/>
  <c r="F628" i="2"/>
  <c r="J628" i="2" s="1"/>
  <c r="N628" i="2" s="1"/>
  <c r="H633" i="2" s="1"/>
  <c r="D635" i="2" s="1"/>
  <c r="F640" i="2" s="1"/>
  <c r="F617" i="2"/>
  <c r="D617" i="2"/>
  <c r="D619" i="2" s="1"/>
  <c r="C614" i="2"/>
  <c r="D599" i="2"/>
  <c r="E594" i="2"/>
  <c r="F604" i="2" s="1"/>
  <c r="F587" i="2"/>
  <c r="F582" i="2"/>
  <c r="D582" i="2"/>
  <c r="D584" i="2" s="1"/>
  <c r="D587" i="2" s="1"/>
  <c r="D589" i="2" s="1"/>
  <c r="J563" i="2"/>
  <c r="D563" i="2"/>
  <c r="H558" i="2"/>
  <c r="H556" i="2"/>
  <c r="D570" i="2" s="1"/>
  <c r="D556" i="2"/>
  <c r="F558" i="2" s="1"/>
  <c r="J558" i="2" s="1"/>
  <c r="N558" i="2" s="1"/>
  <c r="H563" i="2" s="1"/>
  <c r="F554" i="2"/>
  <c r="H512" i="2"/>
  <c r="F512" i="2"/>
  <c r="J512" i="2" s="1"/>
  <c r="D508" i="2"/>
  <c r="H510" i="2" s="1"/>
  <c r="J501" i="2"/>
  <c r="E501" i="2"/>
  <c r="F510" i="2" s="1"/>
  <c r="J494" i="2"/>
  <c r="N487" i="2"/>
  <c r="Q483" i="2"/>
  <c r="M483" i="2"/>
  <c r="K483" i="2"/>
  <c r="E483" i="2"/>
  <c r="G473" i="2"/>
  <c r="G472" i="2"/>
  <c r="G471" i="2"/>
  <c r="G470" i="2"/>
  <c r="G469" i="2"/>
  <c r="G468" i="2"/>
  <c r="G467" i="2"/>
  <c r="G466" i="2"/>
  <c r="G465" i="2"/>
  <c r="G464" i="2"/>
  <c r="G463" i="2"/>
  <c r="G455" i="2"/>
  <c r="G454" i="2"/>
  <c r="G453" i="2"/>
  <c r="G447" i="2"/>
  <c r="K437" i="2"/>
  <c r="G417" i="2"/>
  <c r="D417" i="2"/>
  <c r="G414" i="2"/>
  <c r="E487" i="2" s="1"/>
  <c r="D411" i="2"/>
  <c r="F599" i="2" s="1"/>
  <c r="D601" i="2" s="1"/>
  <c r="D604" i="2" s="1"/>
  <c r="D606" i="2" s="1"/>
  <c r="E404" i="2"/>
  <c r="D406" i="2" s="1"/>
  <c r="D401" i="2"/>
  <c r="D399" i="2"/>
  <c r="F372" i="2"/>
  <c r="G388" i="2" s="1"/>
  <c r="D369" i="2"/>
  <c r="G451" i="2" s="1"/>
  <c r="J355" i="2"/>
  <c r="F355" i="2"/>
  <c r="D357" i="2" s="1"/>
  <c r="N350" i="2"/>
  <c r="N349" i="2"/>
  <c r="G349" i="2"/>
  <c r="E336" i="2"/>
  <c r="K336" i="2" s="1"/>
  <c r="M336" i="2" s="1"/>
  <c r="E331" i="2"/>
  <c r="D313" i="2"/>
  <c r="H306" i="2"/>
  <c r="D308" i="2" s="1"/>
  <c r="F313" i="2" s="1"/>
  <c r="D306" i="2"/>
  <c r="L265" i="2"/>
  <c r="H267" i="2" s="1"/>
  <c r="F249" i="2"/>
  <c r="F237" i="2"/>
  <c r="D229" i="2"/>
  <c r="D237" i="2" s="1"/>
  <c r="D239" i="2" s="1"/>
  <c r="D227" i="2"/>
  <c r="D205" i="2"/>
  <c r="D217" i="2" s="1"/>
  <c r="J203" i="2"/>
  <c r="G189" i="2"/>
  <c r="N184" i="2"/>
  <c r="F179" i="2"/>
  <c r="D179" i="2"/>
  <c r="E178" i="2"/>
  <c r="H178" i="2" s="1"/>
  <c r="E175" i="2"/>
  <c r="I175" i="2" s="1"/>
  <c r="F167" i="2"/>
  <c r="F160" i="2"/>
  <c r="D155" i="2"/>
  <c r="D172" i="2" s="1"/>
  <c r="G175" i="2" s="1"/>
  <c r="K136" i="2"/>
  <c r="K135" i="2"/>
  <c r="K132" i="2"/>
  <c r="D129" i="2"/>
  <c r="D148" i="2" s="1"/>
  <c r="E116" i="2"/>
  <c r="E119" i="2" s="1"/>
  <c r="G104" i="2"/>
  <c r="I88" i="2"/>
  <c r="E99" i="2" s="1"/>
  <c r="I99" i="2" s="1"/>
  <c r="I104" i="2" s="1"/>
  <c r="H85" i="2"/>
  <c r="J85" i="2" s="1"/>
  <c r="L85" i="2" s="1"/>
  <c r="E82" i="2"/>
  <c r="E79" i="2"/>
  <c r="E104" i="2" s="1"/>
  <c r="G77" i="2"/>
  <c r="D58" i="2"/>
  <c r="H51" i="2"/>
  <c r="D53" i="2" s="1"/>
  <c r="F58" i="2" s="1"/>
  <c r="D51" i="2"/>
  <c r="D40" i="2"/>
  <c r="D26" i="2"/>
  <c r="F31" i="2" s="1"/>
  <c r="F24" i="2"/>
  <c r="D21" i="2"/>
  <c r="D31" i="2" s="1"/>
  <c r="D19" i="2"/>
  <c r="D14" i="2"/>
  <c r="D249" i="2" s="1"/>
  <c r="D251" i="2" s="1"/>
  <c r="G251" i="2" s="1"/>
  <c r="D253" i="2" s="1"/>
  <c r="H253" i="2" s="1"/>
  <c r="R259" i="1"/>
  <c r="P259" i="1"/>
  <c r="N259" i="1"/>
  <c r="L259" i="1"/>
  <c r="E228" i="1"/>
  <c r="H217" i="1"/>
  <c r="N203" i="1"/>
  <c r="P203" i="1" s="1"/>
  <c r="E183" i="1"/>
  <c r="E199" i="1" s="1"/>
  <c r="H165" i="1"/>
  <c r="I144" i="1"/>
  <c r="G122" i="1"/>
  <c r="E120" i="1"/>
  <c r="F117" i="1"/>
  <c r="E122" i="1" s="1"/>
  <c r="E117" i="1"/>
  <c r="G110" i="1"/>
  <c r="M122" i="1" s="1"/>
  <c r="L105" i="1"/>
  <c r="L104" i="1"/>
  <c r="T165" i="1" s="1"/>
  <c r="G104" i="1"/>
  <c r="L103" i="1"/>
  <c r="N102" i="1"/>
  <c r="N101" i="1"/>
  <c r="I100" i="1"/>
  <c r="N100" i="1" s="1"/>
  <c r="L98" i="1"/>
  <c r="E250" i="1" s="1"/>
  <c r="G98" i="1"/>
  <c r="G97" i="1"/>
  <c r="L97" i="1" s="1"/>
  <c r="G96" i="1"/>
  <c r="L96" i="1" s="1"/>
  <c r="G95" i="1"/>
  <c r="L95" i="1" s="1"/>
  <c r="P94" i="1"/>
  <c r="C297" i="1" s="1"/>
  <c r="L93" i="1"/>
  <c r="G93" i="1"/>
  <c r="N92" i="1"/>
  <c r="N91" i="1"/>
  <c r="N90" i="1"/>
  <c r="I90" i="1"/>
  <c r="N89" i="1"/>
  <c r="H307" i="1" s="1"/>
  <c r="I89" i="1"/>
  <c r="N88" i="1"/>
  <c r="L87" i="1" s="1"/>
  <c r="I88" i="1"/>
  <c r="G87" i="1" s="1"/>
  <c r="L86" i="1"/>
  <c r="D289" i="1" s="1"/>
  <c r="G86" i="1"/>
  <c r="L85" i="1"/>
  <c r="J237" i="1" s="1"/>
  <c r="G85" i="1"/>
  <c r="N84" i="1"/>
  <c r="F217" i="1" s="1"/>
  <c r="I84" i="1"/>
  <c r="N83" i="1"/>
  <c r="L82" i="1" s="1"/>
  <c r="G82" i="1"/>
  <c r="N81" i="1"/>
  <c r="I81" i="1"/>
  <c r="I80" i="1"/>
  <c r="N80" i="1" s="1"/>
  <c r="D175" i="1" s="1"/>
  <c r="I79" i="1"/>
  <c r="N79" i="1" s="1"/>
  <c r="L78" i="1" s="1"/>
  <c r="N77" i="1"/>
  <c r="F143" i="1" s="1"/>
  <c r="I77" i="1"/>
  <c r="I76" i="1"/>
  <c r="N76" i="1" s="1"/>
  <c r="D143" i="1" s="1"/>
  <c r="N75" i="1"/>
  <c r="N74" i="1"/>
  <c r="I73" i="1"/>
  <c r="N73" i="1" s="1"/>
  <c r="L72" i="1" s="1"/>
  <c r="E58" i="1"/>
  <c r="Q56" i="1"/>
  <c r="M56" i="1"/>
  <c r="E56" i="1"/>
  <c r="J33" i="1"/>
  <c r="G31" i="1"/>
  <c r="G30" i="1"/>
  <c r="C39" i="1" s="1"/>
  <c r="I39" i="1" s="1"/>
  <c r="J28" i="1"/>
  <c r="G28" i="1"/>
  <c r="K18" i="1"/>
  <c r="H18" i="1"/>
  <c r="K16" i="1"/>
  <c r="I56" i="1" s="1"/>
  <c r="H16" i="1"/>
  <c r="D16" i="1"/>
  <c r="J32" i="1" s="1"/>
  <c r="H14" i="1"/>
  <c r="H19" i="1" s="1"/>
  <c r="K19" i="1" s="1"/>
  <c r="D8" i="1"/>
  <c r="N7" i="1"/>
  <c r="G29" i="1" s="1"/>
  <c r="G34" i="1" s="1"/>
  <c r="M267" i="5" l="1"/>
  <c r="I23" i="6"/>
  <c r="I24" i="6"/>
  <c r="I11" i="6"/>
  <c r="I12" i="6"/>
  <c r="I15" i="6"/>
  <c r="I16" i="6"/>
  <c r="I27" i="6"/>
  <c r="I28" i="6"/>
  <c r="I7" i="6"/>
  <c r="G63" i="6"/>
  <c r="I8" i="6"/>
  <c r="I19" i="6"/>
  <c r="I20" i="6"/>
  <c r="I53" i="6"/>
  <c r="I9" i="6"/>
  <c r="I13" i="6"/>
  <c r="I17" i="6"/>
  <c r="I21" i="6"/>
  <c r="I25" i="6"/>
  <c r="I43" i="6"/>
  <c r="I51" i="6"/>
  <c r="I55" i="6"/>
  <c r="F63" i="6"/>
  <c r="G237" i="5"/>
  <c r="K330" i="5"/>
  <c r="N330" i="5" s="1"/>
  <c r="K329" i="5"/>
  <c r="N329" i="5" s="1"/>
  <c r="G238" i="5"/>
  <c r="L237" i="5"/>
  <c r="N237" i="5" s="1"/>
  <c r="K332" i="5"/>
  <c r="L210" i="5"/>
  <c r="N210" i="5" s="1"/>
  <c r="G210" i="5"/>
  <c r="G211" i="5"/>
  <c r="G134" i="5"/>
  <c r="L133" i="5"/>
  <c r="G133" i="5"/>
  <c r="N130" i="5"/>
  <c r="N123" i="5"/>
  <c r="K12" i="5" s="1"/>
  <c r="K96" i="5"/>
  <c r="N96" i="5" s="1"/>
  <c r="K95" i="5"/>
  <c r="N95" i="5" s="1"/>
  <c r="N184" i="5"/>
  <c r="N83" i="5"/>
  <c r="K135" i="5"/>
  <c r="N135" i="5" s="1"/>
  <c r="K136" i="5"/>
  <c r="N136" i="5" s="1"/>
  <c r="N166" i="5"/>
  <c r="N69" i="5"/>
  <c r="N107" i="5"/>
  <c r="N50" i="5"/>
  <c r="L50" i="5" s="1"/>
  <c r="I7" i="5" s="1"/>
  <c r="K7" i="5" s="1"/>
  <c r="N49" i="5"/>
  <c r="P149" i="5"/>
  <c r="T149" i="5" s="1"/>
  <c r="K144" i="5"/>
  <c r="N144" i="5" s="1"/>
  <c r="N424" i="5"/>
  <c r="N426" i="5" s="1"/>
  <c r="U77" i="5"/>
  <c r="L77" i="5" s="1"/>
  <c r="N77" i="5" s="1"/>
  <c r="P109" i="5"/>
  <c r="T109" i="5" s="1"/>
  <c r="K128" i="5"/>
  <c r="N128" i="5" s="1"/>
  <c r="K147" i="5"/>
  <c r="N147" i="5" s="1"/>
  <c r="N164" i="5"/>
  <c r="P168" i="5"/>
  <c r="T168" i="5" s="1"/>
  <c r="K183" i="5"/>
  <c r="N183" i="5" s="1"/>
  <c r="K182" i="5"/>
  <c r="N182" i="5" s="1"/>
  <c r="N185" i="5" s="1"/>
  <c r="K16" i="5" s="1"/>
  <c r="K210" i="5"/>
  <c r="K205" i="5"/>
  <c r="N205" i="5" s="1"/>
  <c r="P212" i="5"/>
  <c r="T212" i="5" s="1"/>
  <c r="K207" i="5"/>
  <c r="N207" i="5" s="1"/>
  <c r="K206" i="5"/>
  <c r="M283" i="5"/>
  <c r="K283" i="5"/>
  <c r="K297" i="5"/>
  <c r="N297" i="5" s="1"/>
  <c r="K145" i="5"/>
  <c r="N145" i="5" s="1"/>
  <c r="K158" i="5"/>
  <c r="N206" i="5"/>
  <c r="K258" i="5"/>
  <c r="N258" i="5" s="1"/>
  <c r="N260" i="5" s="1"/>
  <c r="L260" i="5" s="1"/>
  <c r="I21" i="5" s="1"/>
  <c r="K21" i="5" s="1"/>
  <c r="K257" i="5"/>
  <c r="N257" i="5" s="1"/>
  <c r="M460" i="5"/>
  <c r="O460" i="5" s="1"/>
  <c r="L435" i="5" s="1"/>
  <c r="N435" i="5" s="1"/>
  <c r="O457" i="5"/>
  <c r="L432" i="5" s="1"/>
  <c r="K484" i="5"/>
  <c r="N484" i="5" s="1"/>
  <c r="K485" i="5"/>
  <c r="N485" i="5" s="1"/>
  <c r="N97" i="5"/>
  <c r="K129" i="5"/>
  <c r="N129" i="5" s="1"/>
  <c r="K133" i="5"/>
  <c r="N158" i="5"/>
  <c r="N259" i="5"/>
  <c r="P298" i="5"/>
  <c r="T298" i="5" s="1"/>
  <c r="K296" i="5"/>
  <c r="N381" i="5"/>
  <c r="N439" i="5"/>
  <c r="K308" i="5"/>
  <c r="N308" i="5" s="1"/>
  <c r="K309" i="5"/>
  <c r="N309" i="5" s="1"/>
  <c r="K471" i="5"/>
  <c r="N471" i="5" s="1"/>
  <c r="K469" i="5"/>
  <c r="N469" i="5" s="1"/>
  <c r="N467" i="5"/>
  <c r="N93" i="5"/>
  <c r="N98" i="5" s="1"/>
  <c r="L98" i="5" s="1"/>
  <c r="I10" i="5" s="1"/>
  <c r="K10" i="5" s="1"/>
  <c r="K105" i="5"/>
  <c r="N105" i="5" s="1"/>
  <c r="K130" i="5"/>
  <c r="N159" i="5"/>
  <c r="N200" i="5"/>
  <c r="L200" i="5" s="1"/>
  <c r="I17" i="5" s="1"/>
  <c r="K17" i="5" s="1"/>
  <c r="N199" i="5"/>
  <c r="N504" i="5"/>
  <c r="N523" i="5"/>
  <c r="L523" i="5" s="1"/>
  <c r="N84" i="5"/>
  <c r="K143" i="5"/>
  <c r="N366" i="5"/>
  <c r="N372" i="5" s="1"/>
  <c r="K27" i="5" s="1"/>
  <c r="N143" i="5"/>
  <c r="M271" i="5"/>
  <c r="K271" i="5"/>
  <c r="N306" i="5"/>
  <c r="K322" i="5"/>
  <c r="N322" i="5" s="1"/>
  <c r="K321" i="5"/>
  <c r="N321" i="5" s="1"/>
  <c r="K222" i="5"/>
  <c r="N222" i="5" s="1"/>
  <c r="N228" i="5" s="1"/>
  <c r="N229" i="5" s="1"/>
  <c r="K19" i="5" s="1"/>
  <c r="E281" i="5"/>
  <c r="L366" i="5"/>
  <c r="K369" i="5"/>
  <c r="N369" i="5" s="1"/>
  <c r="K379" i="5"/>
  <c r="N379" i="5" s="1"/>
  <c r="L381" i="5"/>
  <c r="K407" i="5"/>
  <c r="P410" i="5"/>
  <c r="T410" i="5" s="1"/>
  <c r="K410" i="5" s="1"/>
  <c r="N410" i="5" s="1"/>
  <c r="K428" i="5"/>
  <c r="N428" i="5" s="1"/>
  <c r="K432" i="5"/>
  <c r="N432" i="5" s="1"/>
  <c r="L482" i="5"/>
  <c r="N482" i="5" s="1"/>
  <c r="L492" i="5"/>
  <c r="N492" i="5" s="1"/>
  <c r="L513" i="5"/>
  <c r="N513" i="5" s="1"/>
  <c r="K277" i="5"/>
  <c r="K377" i="5"/>
  <c r="N377" i="5" s="1"/>
  <c r="L379" i="5"/>
  <c r="K405" i="5"/>
  <c r="N405" i="5" s="1"/>
  <c r="L407" i="5"/>
  <c r="K422" i="5"/>
  <c r="N422" i="5" s="1"/>
  <c r="K425" i="5"/>
  <c r="N425" i="5" s="1"/>
  <c r="M447" i="5"/>
  <c r="O447" i="5" s="1"/>
  <c r="L421" i="5" s="1"/>
  <c r="M453" i="5"/>
  <c r="O453" i="5" s="1"/>
  <c r="L427" i="5" s="1"/>
  <c r="M459" i="5"/>
  <c r="O459" i="5" s="1"/>
  <c r="L434" i="5" s="1"/>
  <c r="N434" i="5" s="1"/>
  <c r="N436" i="5" s="1"/>
  <c r="K236" i="5"/>
  <c r="N236" i="5" s="1"/>
  <c r="E269" i="5"/>
  <c r="E285" i="5"/>
  <c r="K288" i="5"/>
  <c r="L377" i="5"/>
  <c r="K382" i="5"/>
  <c r="P385" i="5"/>
  <c r="T385" i="5" s="1"/>
  <c r="L395" i="5"/>
  <c r="N395" i="5" s="1"/>
  <c r="L405" i="5"/>
  <c r="K419" i="5"/>
  <c r="N419" i="5" s="1"/>
  <c r="K483" i="5"/>
  <c r="N483" i="5" s="1"/>
  <c r="K497" i="5"/>
  <c r="N497" i="5" s="1"/>
  <c r="L157" i="5"/>
  <c r="N157" i="5" s="1"/>
  <c r="K234" i="5"/>
  <c r="N234" i="5" s="1"/>
  <c r="O247" i="5"/>
  <c r="L241" i="5" s="1"/>
  <c r="N241" i="5" s="1"/>
  <c r="K265" i="5"/>
  <c r="K286" i="5" s="1"/>
  <c r="K291" i="5" s="1"/>
  <c r="E279" i="5"/>
  <c r="L338" i="5"/>
  <c r="N338" i="5" s="1"/>
  <c r="L382" i="5"/>
  <c r="K408" i="5"/>
  <c r="N408" i="5" s="1"/>
  <c r="L483" i="5"/>
  <c r="L493" i="5"/>
  <c r="N493" i="5" s="1"/>
  <c r="L504" i="5"/>
  <c r="P239" i="5"/>
  <c r="T239" i="5" s="1"/>
  <c r="M265" i="5"/>
  <c r="M286" i="5" s="1"/>
  <c r="M291" i="5" s="1"/>
  <c r="E273" i="5"/>
  <c r="K275" i="5"/>
  <c r="L380" i="5"/>
  <c r="N380" i="5" s="1"/>
  <c r="K423" i="5"/>
  <c r="L481" i="5"/>
  <c r="N481" i="5" s="1"/>
  <c r="L296" i="5"/>
  <c r="K378" i="5"/>
  <c r="N378" i="5" s="1"/>
  <c r="L396" i="5"/>
  <c r="N396" i="5" s="1"/>
  <c r="K427" i="5"/>
  <c r="N427" i="5" s="1"/>
  <c r="N429" i="5" s="1"/>
  <c r="M444" i="5"/>
  <c r="O444" i="5" s="1"/>
  <c r="L418" i="5" s="1"/>
  <c r="N418" i="5" s="1"/>
  <c r="N420" i="5" s="1"/>
  <c r="M450" i="5"/>
  <c r="O450" i="5" s="1"/>
  <c r="L424" i="5" s="1"/>
  <c r="M456" i="5"/>
  <c r="O456" i="5" s="1"/>
  <c r="L431" i="5" s="1"/>
  <c r="N431" i="5" s="1"/>
  <c r="M462" i="5"/>
  <c r="O462" i="5" s="1"/>
  <c r="L438" i="5" s="1"/>
  <c r="N438" i="5" s="1"/>
  <c r="N440" i="5" s="1"/>
  <c r="L316" i="5"/>
  <c r="N316" i="5" s="1"/>
  <c r="K421" i="5"/>
  <c r="N421" i="5" s="1"/>
  <c r="N423" i="5" s="1"/>
  <c r="AG47" i="4"/>
  <c r="F65" i="3"/>
  <c r="D67" i="3" s="1"/>
  <c r="G67" i="3" s="1"/>
  <c r="D69" i="3" s="1"/>
  <c r="I74" i="3"/>
  <c r="H10" i="3"/>
  <c r="F22" i="3"/>
  <c r="D24" i="3" s="1"/>
  <c r="G24" i="3" s="1"/>
  <c r="D26" i="3" s="1"/>
  <c r="R56" i="3"/>
  <c r="D33" i="2"/>
  <c r="E106" i="2"/>
  <c r="O777" i="2"/>
  <c r="M781" i="2"/>
  <c r="Q781" i="2" s="1"/>
  <c r="M777" i="2"/>
  <c r="H773" i="2"/>
  <c r="Q773" i="2" s="1"/>
  <c r="M785" i="2"/>
  <c r="Q785" i="2" s="1"/>
  <c r="D662" i="2"/>
  <c r="H663" i="2" s="1"/>
  <c r="H667" i="2" s="1"/>
  <c r="E489" i="2"/>
  <c r="F494" i="2" s="1"/>
  <c r="D496" i="2" s="1"/>
  <c r="J487" i="2"/>
  <c r="D642" i="2"/>
  <c r="J510" i="2"/>
  <c r="D674" i="2"/>
  <c r="J652" i="2"/>
  <c r="F667" i="2" s="1"/>
  <c r="D315" i="2"/>
  <c r="D419" i="2"/>
  <c r="D565" i="2"/>
  <c r="F570" i="2" s="1"/>
  <c r="D572" i="2" s="1"/>
  <c r="J886" i="2"/>
  <c r="D912" i="2" s="1"/>
  <c r="J912" i="2" s="1"/>
  <c r="J184" i="2"/>
  <c r="K175" i="2"/>
  <c r="E469" i="2"/>
  <c r="I469" i="2" s="1"/>
  <c r="E453" i="2"/>
  <c r="I453" i="2" s="1"/>
  <c r="D718" i="2"/>
  <c r="D60" i="2"/>
  <c r="F184" i="2"/>
  <c r="D186" i="2" s="1"/>
  <c r="E189" i="2"/>
  <c r="I189" i="2" s="1"/>
  <c r="D167" i="2"/>
  <c r="D169" i="2" s="1"/>
  <c r="D538" i="2"/>
  <c r="J531" i="2"/>
  <c r="F531" i="2"/>
  <c r="D533" i="2" s="1"/>
  <c r="F538" i="2" s="1"/>
  <c r="D540" i="2" s="1"/>
  <c r="F545" i="2" s="1"/>
  <c r="D141" i="2"/>
  <c r="D143" i="2" s="1"/>
  <c r="F148" i="2" s="1"/>
  <c r="D150" i="2" s="1"/>
  <c r="G382" i="2"/>
  <c r="G390" i="2"/>
  <c r="G449" i="2"/>
  <c r="G457" i="2"/>
  <c r="I695" i="2"/>
  <c r="H716" i="2" s="1"/>
  <c r="E846" i="2"/>
  <c r="H141" i="2"/>
  <c r="G383" i="2"/>
  <c r="G391" i="2"/>
  <c r="G452" i="2"/>
  <c r="E847" i="2"/>
  <c r="G859" i="2" s="1"/>
  <c r="I859" i="2" s="1"/>
  <c r="O859" i="2" s="1"/>
  <c r="G389" i="2"/>
  <c r="G384" i="2"/>
  <c r="G392" i="2"/>
  <c r="D210" i="2"/>
  <c r="D212" i="2" s="1"/>
  <c r="F217" i="2" s="1"/>
  <c r="D219" i="2" s="1"/>
  <c r="G385" i="2"/>
  <c r="J417" i="2"/>
  <c r="G450" i="2"/>
  <c r="D728" i="2"/>
  <c r="H210" i="2"/>
  <c r="G386" i="2"/>
  <c r="H728" i="2"/>
  <c r="G387" i="2"/>
  <c r="G448" i="2"/>
  <c r="G456" i="2"/>
  <c r="M839" i="2"/>
  <c r="Q839" i="2" s="1"/>
  <c r="G369" i="2"/>
  <c r="L106" i="1"/>
  <c r="D249" i="1"/>
  <c r="D237" i="1"/>
  <c r="L99" i="1"/>
  <c r="G250" i="1"/>
  <c r="F165" i="1"/>
  <c r="H249" i="1"/>
  <c r="F227" i="1"/>
  <c r="H237" i="1"/>
  <c r="H153" i="1"/>
  <c r="J143" i="1"/>
  <c r="H175" i="1"/>
  <c r="N237" i="1"/>
  <c r="N153" i="1"/>
  <c r="D259" i="1"/>
  <c r="L175" i="1"/>
  <c r="N249" i="1"/>
  <c r="L227" i="1"/>
  <c r="P143" i="1"/>
  <c r="J217" i="1"/>
  <c r="J165" i="1"/>
  <c r="C58" i="1"/>
  <c r="C60" i="1" s="1"/>
  <c r="F60" i="1" s="1"/>
  <c r="J60" i="1" s="1"/>
  <c r="P153" i="1"/>
  <c r="F259" i="1"/>
  <c r="N175" i="1"/>
  <c r="P237" i="1"/>
  <c r="J307" i="1"/>
  <c r="P249" i="1"/>
  <c r="N227" i="1"/>
  <c r="R143" i="1"/>
  <c r="J289" i="1"/>
  <c r="L217" i="1"/>
  <c r="L165" i="1"/>
  <c r="F249" i="1"/>
  <c r="D227" i="1"/>
  <c r="H143" i="1"/>
  <c r="D165" i="1"/>
  <c r="F237" i="1"/>
  <c r="F153" i="1"/>
  <c r="H259" i="1"/>
  <c r="P175" i="1"/>
  <c r="R249" i="1"/>
  <c r="P227" i="1"/>
  <c r="T143" i="1"/>
  <c r="N165" i="1"/>
  <c r="R237" i="1"/>
  <c r="R153" i="1"/>
  <c r="J259" i="1"/>
  <c r="R175" i="1"/>
  <c r="N307" i="1"/>
  <c r="T249" i="1"/>
  <c r="R227" i="1"/>
  <c r="E144" i="1"/>
  <c r="N289" i="1"/>
  <c r="P165" i="1"/>
  <c r="N217" i="1"/>
  <c r="T237" i="1"/>
  <c r="T153" i="1"/>
  <c r="F114" i="1"/>
  <c r="I122" i="1" s="1"/>
  <c r="E124" i="1" s="1"/>
  <c r="L94" i="1" s="1"/>
  <c r="L143" i="1"/>
  <c r="F175" i="1"/>
  <c r="E176" i="1"/>
  <c r="H227" i="1"/>
  <c r="J249" i="1"/>
  <c r="H289" i="1"/>
  <c r="D307" i="1"/>
  <c r="G72" i="1"/>
  <c r="F115" i="1"/>
  <c r="K122" i="1" s="1"/>
  <c r="G94" i="1" s="1"/>
  <c r="N143" i="1"/>
  <c r="D153" i="1"/>
  <c r="J227" i="1"/>
  <c r="L249" i="1"/>
  <c r="K250" i="1"/>
  <c r="F307" i="1"/>
  <c r="F289" i="1"/>
  <c r="J175" i="1"/>
  <c r="G78" i="1"/>
  <c r="G99" i="1"/>
  <c r="G154" i="1"/>
  <c r="G238" i="1"/>
  <c r="D120" i="1"/>
  <c r="J153" i="1"/>
  <c r="R217" i="1"/>
  <c r="E260" i="1"/>
  <c r="L153" i="1"/>
  <c r="D217" i="1"/>
  <c r="L237" i="1"/>
  <c r="N137" i="5" l="1"/>
  <c r="N111" i="5"/>
  <c r="N441" i="5"/>
  <c r="L441" i="5" s="1"/>
  <c r="I31" i="5" s="1"/>
  <c r="K31" i="5" s="1"/>
  <c r="N399" i="5"/>
  <c r="N400" i="5"/>
  <c r="L400" i="5" s="1"/>
  <c r="I29" i="5" s="1"/>
  <c r="K29" i="5" s="1"/>
  <c r="N499" i="5"/>
  <c r="N500" i="5" s="1"/>
  <c r="K34" i="5" s="1"/>
  <c r="N487" i="5"/>
  <c r="L487" i="5" s="1"/>
  <c r="I33" i="5" s="1"/>
  <c r="K33" i="5" s="1"/>
  <c r="N486" i="5"/>
  <c r="N517" i="5"/>
  <c r="N518" i="5" s="1"/>
  <c r="K168" i="5"/>
  <c r="N168" i="5" s="1"/>
  <c r="K169" i="5"/>
  <c r="N169" i="5" s="1"/>
  <c r="N433" i="5"/>
  <c r="N170" i="5"/>
  <c r="N171" i="5" s="1"/>
  <c r="L171" i="5" s="1"/>
  <c r="I15" i="5" s="1"/>
  <c r="K15" i="5" s="1"/>
  <c r="K150" i="5"/>
  <c r="N150" i="5" s="1"/>
  <c r="K149" i="5"/>
  <c r="N149" i="5" s="1"/>
  <c r="N152" i="5" s="1"/>
  <c r="L152" i="5" s="1"/>
  <c r="I14" i="5" s="1"/>
  <c r="K14" i="5" s="1"/>
  <c r="N243" i="5"/>
  <c r="N382" i="5"/>
  <c r="N508" i="5"/>
  <c r="N509" i="5" s="1"/>
  <c r="N151" i="5"/>
  <c r="N476" i="5"/>
  <c r="M285" i="5"/>
  <c r="K285" i="5"/>
  <c r="M281" i="5"/>
  <c r="K281" i="5"/>
  <c r="K213" i="5"/>
  <c r="N213" i="5" s="1"/>
  <c r="K212" i="5"/>
  <c r="N212" i="5" s="1"/>
  <c r="N215" i="5" s="1"/>
  <c r="K18" i="5" s="1"/>
  <c r="M269" i="5"/>
  <c r="K269" i="5"/>
  <c r="N214" i="5"/>
  <c r="K109" i="5"/>
  <c r="N109" i="5" s="1"/>
  <c r="N112" i="5" s="1"/>
  <c r="L112" i="5" s="1"/>
  <c r="I11" i="5" s="1"/>
  <c r="K11" i="5" s="1"/>
  <c r="K110" i="5"/>
  <c r="N110" i="5" s="1"/>
  <c r="M273" i="5"/>
  <c r="K273" i="5"/>
  <c r="N343" i="5"/>
  <c r="L343" i="5" s="1"/>
  <c r="I26" i="5" s="1"/>
  <c r="K26" i="5" s="1"/>
  <c r="N342" i="5"/>
  <c r="K279" i="5"/>
  <c r="M279" i="5"/>
  <c r="N296" i="5"/>
  <c r="N133" i="5"/>
  <c r="N138" i="5" s="1"/>
  <c r="L138" i="5" s="1"/>
  <c r="I13" i="5" s="1"/>
  <c r="K13" i="5" s="1"/>
  <c r="N332" i="5"/>
  <c r="N333" i="5" s="1"/>
  <c r="I25" i="5" s="1"/>
  <c r="K25" i="5" s="1"/>
  <c r="K240" i="5"/>
  <c r="N240" i="5" s="1"/>
  <c r="K239" i="5"/>
  <c r="N239" i="5" s="1"/>
  <c r="N244" i="5" s="1"/>
  <c r="L244" i="5" s="1"/>
  <c r="I20" i="5" s="1"/>
  <c r="K20" i="5" s="1"/>
  <c r="N388" i="5"/>
  <c r="N407" i="5"/>
  <c r="N412" i="5" s="1"/>
  <c r="L412" i="5" s="1"/>
  <c r="I30" i="5" s="1"/>
  <c r="K30" i="5" s="1"/>
  <c r="K298" i="5"/>
  <c r="N298" i="5" s="1"/>
  <c r="K299" i="5"/>
  <c r="N299" i="5" s="1"/>
  <c r="N323" i="5"/>
  <c r="N324" i="5"/>
  <c r="K386" i="5"/>
  <c r="N386" i="5" s="1"/>
  <c r="K385" i="5"/>
  <c r="N385" i="5" s="1"/>
  <c r="N389" i="5" s="1"/>
  <c r="L389" i="5" s="1"/>
  <c r="I28" i="5" s="1"/>
  <c r="K28" i="5" s="1"/>
  <c r="N310" i="5"/>
  <c r="N311" i="5" s="1"/>
  <c r="K35" i="5"/>
  <c r="I35" i="5"/>
  <c r="D41" i="3"/>
  <c r="I31" i="3"/>
  <c r="D39" i="3"/>
  <c r="I46" i="3" s="1"/>
  <c r="E451" i="2"/>
  <c r="I451" i="2" s="1"/>
  <c r="E467" i="2"/>
  <c r="I467" i="2" s="1"/>
  <c r="E454" i="2"/>
  <c r="I454" i="2" s="1"/>
  <c r="E470" i="2"/>
  <c r="I470" i="2" s="1"/>
  <c r="F260" i="2"/>
  <c r="D194" i="2"/>
  <c r="D196" i="2" s="1"/>
  <c r="D669" i="2"/>
  <c r="F674" i="2" s="1"/>
  <c r="E468" i="2"/>
  <c r="I468" i="2" s="1"/>
  <c r="E452" i="2"/>
  <c r="I452" i="2" s="1"/>
  <c r="E449" i="2"/>
  <c r="I449" i="2" s="1"/>
  <c r="E465" i="2"/>
  <c r="I465" i="2" s="1"/>
  <c r="D730" i="2"/>
  <c r="H194" i="2"/>
  <c r="J293" i="2"/>
  <c r="F299" i="2" s="1"/>
  <c r="F301" i="2" s="1"/>
  <c r="I301" i="2" s="1"/>
  <c r="J328" i="2"/>
  <c r="D676" i="2"/>
  <c r="E471" i="2"/>
  <c r="I471" i="2" s="1"/>
  <c r="E455" i="2"/>
  <c r="I455" i="2" s="1"/>
  <c r="F262" i="2"/>
  <c r="F194" i="2"/>
  <c r="D524" i="2"/>
  <c r="H517" i="2"/>
  <c r="D517" i="2"/>
  <c r="D519" i="2" s="1"/>
  <c r="F524" i="2" s="1"/>
  <c r="Q777" i="2"/>
  <c r="E789" i="2" s="1"/>
  <c r="K420" i="2"/>
  <c r="L425" i="2" s="1"/>
  <c r="K419" i="2"/>
  <c r="D432" i="2"/>
  <c r="D425" i="2"/>
  <c r="E472" i="2"/>
  <c r="I472" i="2" s="1"/>
  <c r="E456" i="2"/>
  <c r="I456" i="2" s="1"/>
  <c r="E463" i="2"/>
  <c r="I463" i="2" s="1"/>
  <c r="E447" i="2"/>
  <c r="I447" i="2" s="1"/>
  <c r="E464" i="2"/>
  <c r="I464" i="2" s="1"/>
  <c r="E448" i="2"/>
  <c r="I448" i="2" s="1"/>
  <c r="D109" i="2"/>
  <c r="G119" i="2" s="1"/>
  <c r="E121" i="2" s="1"/>
  <c r="K46" i="2" s="1"/>
  <c r="N40" i="2" s="1"/>
  <c r="AK109" i="2"/>
  <c r="E466" i="2"/>
  <c r="I466" i="2" s="1"/>
  <c r="E450" i="2"/>
  <c r="I450" i="2" s="1"/>
  <c r="E473" i="2"/>
  <c r="I473" i="2" s="1"/>
  <c r="E457" i="2"/>
  <c r="I457" i="2" s="1"/>
  <c r="D299" i="1"/>
  <c r="D301" i="1" s="1"/>
  <c r="T227" i="1"/>
  <c r="D231" i="1" s="1"/>
  <c r="G144" i="1"/>
  <c r="T175" i="1"/>
  <c r="L307" i="1"/>
  <c r="R165" i="1"/>
  <c r="D169" i="1" s="1"/>
  <c r="T259" i="1"/>
  <c r="P217" i="1"/>
  <c r="L289" i="1"/>
  <c r="E238" i="1"/>
  <c r="E154" i="1"/>
  <c r="D157" i="1" s="1"/>
  <c r="I250" i="1"/>
  <c r="E189" i="1"/>
  <c r="E186" i="1"/>
  <c r="E188" i="1"/>
  <c r="E187" i="1"/>
  <c r="D293" i="1"/>
  <c r="D179" i="1"/>
  <c r="D147" i="1"/>
  <c r="D263" i="1"/>
  <c r="G106" i="1"/>
  <c r="D311" i="1"/>
  <c r="D221" i="1"/>
  <c r="D241" i="1"/>
  <c r="D253" i="1"/>
  <c r="N300" i="5" l="1"/>
  <c r="N301" i="5" s="1"/>
  <c r="L301" i="5" s="1"/>
  <c r="I22" i="5" s="1"/>
  <c r="K22" i="5" s="1"/>
  <c r="K36" i="5" s="1"/>
  <c r="F38" i="5" s="1"/>
  <c r="K38" i="5" s="1"/>
  <c r="E33" i="3"/>
  <c r="E76" i="3"/>
  <c r="H293" i="2"/>
  <c r="H328" i="2"/>
  <c r="F267" i="2"/>
  <c r="I458" i="2"/>
  <c r="F196" i="2"/>
  <c r="G196" i="2"/>
  <c r="E437" i="2"/>
  <c r="D439" i="2" s="1"/>
  <c r="H425" i="2"/>
  <c r="D427" i="2" s="1"/>
  <c r="F432" i="2" s="1"/>
  <c r="D434" i="2" s="1"/>
  <c r="I474" i="2"/>
  <c r="D526" i="2"/>
  <c r="D545" i="2" s="1"/>
  <c r="D547" i="2" s="1"/>
  <c r="F328" i="2"/>
  <c r="D267" i="2"/>
  <c r="F293" i="2"/>
  <c r="E197" i="1"/>
  <c r="C199" i="1" s="1"/>
  <c r="I199" i="1" s="1"/>
  <c r="E48" i="3" l="1"/>
  <c r="F295" i="2"/>
  <c r="I295" i="2" s="1"/>
  <c r="D269" i="2"/>
  <c r="L328" i="2"/>
  <c r="D281" i="2" l="1"/>
  <c r="D283" i="2" s="1"/>
  <c r="H274" i="2"/>
  <c r="D274" i="2"/>
  <c r="D276" i="2" s="1"/>
  <c r="F281" i="2" s="1"/>
</calcChain>
</file>

<file path=xl/sharedStrings.xml><?xml version="1.0" encoding="utf-8"?>
<sst xmlns="http://schemas.openxmlformats.org/spreadsheetml/2006/main" count="3761" uniqueCount="1410">
  <si>
    <t>送出し架設の積算</t>
    <rPh sb="0" eb="2">
      <t>オクリダ</t>
    </rPh>
    <phoneticPr fontId="2"/>
  </si>
  <si>
    <t>１．橋梁形式</t>
  </si>
  <si>
    <t>鋼３径間連続少数Ｉ桁（床版形式：コンクリート床版　主桁現場継手：現場溶接）</t>
  </si>
  <si>
    <t>径間数</t>
  </si>
  <si>
    <t>橋長 Ｌ=</t>
    <phoneticPr fontId="2"/>
  </si>
  <si>
    <t>+</t>
  </si>
  <si>
    <t>=</t>
  </si>
  <si>
    <t>ｍ</t>
  </si>
  <si>
    <t>最大支間長</t>
    <rPh sb="0" eb="2">
      <t>サイダイ</t>
    </rPh>
    <rPh sb="2" eb="4">
      <t>シカン</t>
    </rPh>
    <rPh sb="4" eb="5">
      <t>チョウ</t>
    </rPh>
    <phoneticPr fontId="2"/>
  </si>
  <si>
    <t>ｍ</t>
    <phoneticPr fontId="2"/>
  </si>
  <si>
    <t>総幅員</t>
  </si>
  <si>
    <t>ｍ</t>
    <phoneticPr fontId="2"/>
  </si>
  <si>
    <t>有効幅員</t>
    <rPh sb="0" eb="4">
      <t>ユウコウフクイン</t>
    </rPh>
    <phoneticPr fontId="2"/>
  </si>
  <si>
    <t>外桁間距離</t>
    <phoneticPr fontId="2"/>
  </si>
  <si>
    <t>主桁本数</t>
  </si>
  <si>
    <t>本</t>
  </si>
  <si>
    <t>桁高</t>
  </si>
  <si>
    <t>主桁フランジ幅</t>
    <rPh sb="0" eb="1">
      <t>シュ</t>
    </rPh>
    <rPh sb="1" eb="2">
      <t>ケタ</t>
    </rPh>
    <rPh sb="6" eb="7">
      <t>ハバ</t>
    </rPh>
    <phoneticPr fontId="2"/>
  </si>
  <si>
    <t>主桁斜角</t>
    <rPh sb="0" eb="1">
      <t>シュ</t>
    </rPh>
    <rPh sb="1" eb="2">
      <t>ケタ</t>
    </rPh>
    <rPh sb="2" eb="3">
      <t>シャ</t>
    </rPh>
    <rPh sb="3" eb="4">
      <t>カク</t>
    </rPh>
    <phoneticPr fontId="2"/>
  </si>
  <si>
    <t>°</t>
    <phoneticPr fontId="2"/>
  </si>
  <si>
    <t>送出し主桁数</t>
    <rPh sb="0" eb="2">
      <t>オクリダ</t>
    </rPh>
    <rPh sb="3" eb="4">
      <t>シュ</t>
    </rPh>
    <rPh sb="4" eb="5">
      <t>ケタ</t>
    </rPh>
    <rPh sb="5" eb="6">
      <t>スウ</t>
    </rPh>
    <phoneticPr fontId="2"/>
  </si>
  <si>
    <t>本/回</t>
    <rPh sb="0" eb="1">
      <t>ホン</t>
    </rPh>
    <rPh sb="2" eb="3">
      <t>カイ</t>
    </rPh>
    <phoneticPr fontId="2"/>
  </si>
  <si>
    <t>送出し回数</t>
    <rPh sb="0" eb="2">
      <t>オクリダ</t>
    </rPh>
    <rPh sb="3" eb="5">
      <t>カイスウ</t>
    </rPh>
    <phoneticPr fontId="2"/>
  </si>
  <si>
    <t>回</t>
    <rPh sb="0" eb="1">
      <t>カイ</t>
    </rPh>
    <phoneticPr fontId="2"/>
  </si>
  <si>
    <t>支承数</t>
  </si>
  <si>
    <t>個</t>
  </si>
  <si>
    <t>ジョイント数</t>
  </si>
  <si>
    <t>個/主桁</t>
  </si>
  <si>
    <t>→</t>
    <phoneticPr fontId="2"/>
  </si>
  <si>
    <t>個（全橋）</t>
    <rPh sb="2" eb="3">
      <t>ゼン</t>
    </rPh>
    <rPh sb="3" eb="4">
      <t>キョウ</t>
    </rPh>
    <phoneticPr fontId="2"/>
  </si>
  <si>
    <t>主桁部材数</t>
    <rPh sb="0" eb="1">
      <t>シュ</t>
    </rPh>
    <rPh sb="1" eb="2">
      <t>ケタ</t>
    </rPh>
    <rPh sb="2" eb="4">
      <t>ブザイ</t>
    </rPh>
    <phoneticPr fontId="2"/>
  </si>
  <si>
    <t>部材</t>
    <rPh sb="0" eb="2">
      <t>ブザイ</t>
    </rPh>
    <phoneticPr fontId="2"/>
  </si>
  <si>
    <t>×</t>
  </si>
  <si>
    <t>主桁</t>
  </si>
  <si>
    <t>＝</t>
    <phoneticPr fontId="2"/>
  </si>
  <si>
    <t>初回送出し部材数</t>
    <rPh sb="0" eb="2">
      <t>ショカイ</t>
    </rPh>
    <rPh sb="2" eb="4">
      <t>オクリダ</t>
    </rPh>
    <rPh sb="5" eb="7">
      <t>ブザイ</t>
    </rPh>
    <rPh sb="7" eb="8">
      <t>スウ</t>
    </rPh>
    <phoneticPr fontId="2"/>
  </si>
  <si>
    <t>＝</t>
    <phoneticPr fontId="2"/>
  </si>
  <si>
    <t>ヤード部ベント高</t>
    <phoneticPr fontId="2"/>
  </si>
  <si>
    <t>２．対象鋼重</t>
  </si>
  <si>
    <t>比率(%)</t>
  </si>
  <si>
    <t>数　　量</t>
  </si>
  <si>
    <r>
      <t>1m</t>
    </r>
    <r>
      <rPr>
        <vertAlign val="superscript"/>
        <sz val="10"/>
        <rFont val="ＭＳ ゴシック"/>
        <family val="3"/>
        <charset val="128"/>
      </rPr>
      <t>2</t>
    </r>
    <r>
      <rPr>
        <sz val="10"/>
        <rFont val="ＭＳ ゴシック"/>
        <family val="3"/>
        <charset val="128"/>
      </rPr>
      <t>当たり鋼重</t>
    </r>
    <phoneticPr fontId="2"/>
  </si>
  <si>
    <r>
      <t>kg/m</t>
    </r>
    <r>
      <rPr>
        <vertAlign val="superscript"/>
        <sz val="10"/>
        <rFont val="ＭＳ ゴシック"/>
        <family val="3"/>
        <charset val="128"/>
      </rPr>
      <t>2</t>
    </r>
    <phoneticPr fontId="6"/>
  </si>
  <si>
    <t>①</t>
  </si>
  <si>
    <t>主　　桁</t>
    <phoneticPr fontId="2"/>
  </si>
  <si>
    <t>t</t>
  </si>
  <si>
    <t>②</t>
  </si>
  <si>
    <t>横　　桁</t>
  </si>
  <si>
    <t>③</t>
  </si>
  <si>
    <t>ボルト</t>
  </si>
  <si>
    <t>④</t>
    <phoneticPr fontId="2"/>
  </si>
  <si>
    <t>支承</t>
  </si>
  <si>
    <t>落橋防止</t>
  </si>
  <si>
    <t>組</t>
  </si>
  <si>
    <t>橋体総質量①＋②＋③＝</t>
    <phoneticPr fontId="2"/>
  </si>
  <si>
    <t>３．高力ボルト本数</t>
  </si>
  <si>
    <t>Ｑ＝</t>
    <phoneticPr fontId="2"/>
  </si>
  <si>
    <t>t÷(</t>
  </si>
  <si>
    <t>kg/本</t>
  </si>
  <si>
    <t>÷1000</t>
  </si>
  <si>
    <t xml:space="preserve">) = </t>
  </si>
  <si>
    <t>（Ｍ２２ Ｌ＝１００）</t>
    <phoneticPr fontId="2"/>
  </si>
  <si>
    <t>４．足場工</t>
  </si>
  <si>
    <t>ワイヤブリッジ転用足場（架設単独使用）</t>
    <rPh sb="7" eb="9">
      <t>テンヨウ</t>
    </rPh>
    <phoneticPr fontId="2"/>
  </si>
  <si>
    <t>５．立地条件</t>
    <phoneticPr fontId="2"/>
  </si>
  <si>
    <t>両岸は工事用地として自由に使用できるものとする。</t>
    <rPh sb="0" eb="2">
      <t>リョウガン</t>
    </rPh>
    <rPh sb="3" eb="5">
      <t>コウジ</t>
    </rPh>
    <rPh sb="5" eb="7">
      <t>ヨウチ</t>
    </rPh>
    <rPh sb="10" eb="12">
      <t>ジユウ</t>
    </rPh>
    <rPh sb="13" eb="15">
      <t>シヨウ</t>
    </rPh>
    <phoneticPr fontId="2"/>
  </si>
  <si>
    <t>６．継手部現場塗装</t>
  </si>
  <si>
    <t>継手部塗装面積</t>
  </si>
  <si>
    <t>（長さ）</t>
    <rPh sb="1" eb="2">
      <t>ナガ</t>
    </rPh>
    <phoneticPr fontId="2"/>
  </si>
  <si>
    <t>（高さ）</t>
    <rPh sb="1" eb="2">
      <t>タカ</t>
    </rPh>
    <phoneticPr fontId="2"/>
  </si>
  <si>
    <t>（両面）</t>
    <rPh sb="1" eb="3">
      <t>リョウメン</t>
    </rPh>
    <phoneticPr fontId="2"/>
  </si>
  <si>
    <t>（箇所）</t>
    <rPh sb="1" eb="3">
      <t>カショ</t>
    </rPh>
    <phoneticPr fontId="2"/>
  </si>
  <si>
    <t>（幅）</t>
    <rPh sb="1" eb="2">
      <t>ハバ</t>
    </rPh>
    <phoneticPr fontId="2"/>
  </si>
  <si>
    <t>（上下両面）</t>
    <rPh sb="1" eb="3">
      <t>ジョウゲ</t>
    </rPh>
    <rPh sb="3" eb="5">
      <t>リョウメン</t>
    </rPh>
    <phoneticPr fontId="2"/>
  </si>
  <si>
    <t>Ａ＝</t>
    <phoneticPr fontId="2"/>
  </si>
  <si>
    <t>枚 ×</t>
  </si>
  <si>
    <t>＋</t>
  </si>
  <si>
    <t>＝</t>
    <phoneticPr fontId="2"/>
  </si>
  <si>
    <t>＋</t>
    <phoneticPr fontId="6"/>
  </si>
  <si>
    <r>
      <t>ｍ</t>
    </r>
    <r>
      <rPr>
        <vertAlign val="superscript"/>
        <sz val="10"/>
        <rFont val="ＭＳ ゴシック"/>
        <family val="3"/>
        <charset val="128"/>
      </rPr>
      <t>2</t>
    </r>
    <phoneticPr fontId="6"/>
  </si>
  <si>
    <t>→</t>
    <phoneticPr fontId="2"/>
  </si>
  <si>
    <t>×</t>
    <phoneticPr fontId="2"/>
  </si>
  <si>
    <t>（横桁分など２０％考慮）</t>
    <rPh sb="1" eb="2">
      <t>ヨコ</t>
    </rPh>
    <rPh sb="2" eb="3">
      <t>ケタ</t>
    </rPh>
    <rPh sb="3" eb="4">
      <t>ブン</t>
    </rPh>
    <rPh sb="9" eb="11">
      <t>コウリョ</t>
    </rPh>
    <phoneticPr fontId="2"/>
  </si>
  <si>
    <t>注）</t>
  </si>
  <si>
    <t>１．ウェブ添接幅は６本ボルト配置で、</t>
    <phoneticPr fontId="2"/>
  </si>
  <si>
    <t>４×７５（ピッチ）＋１２０（中心）＋８０（縁端）＝５００とする。</t>
    <phoneticPr fontId="2"/>
  </si>
  <si>
    <t>２．フランジ添接板は１２本ボルト配置で、</t>
    <phoneticPr fontId="2"/>
  </si>
  <si>
    <t>１０×７５（ピッチ）＋１２０（中心）＋８０（縁端）＝９５０とする。</t>
    <phoneticPr fontId="2"/>
  </si>
  <si>
    <t>６．所要日数の集計</t>
  </si>
  <si>
    <t>工　　　種</t>
  </si>
  <si>
    <t>所要日数(日)</t>
    <rPh sb="5" eb="6">
      <t>ニチ</t>
    </rPh>
    <phoneticPr fontId="2"/>
  </si>
  <si>
    <t>パーティ</t>
  </si>
  <si>
    <t>所要日数/Ｐ(日)</t>
    <phoneticPr fontId="2"/>
  </si>
  <si>
    <t>記号</t>
  </si>
  <si>
    <t>送出しヤード工</t>
    <rPh sb="0" eb="2">
      <t>オクリダ</t>
    </rPh>
    <rPh sb="6" eb="7">
      <t>コウ</t>
    </rPh>
    <phoneticPr fontId="2"/>
  </si>
  <si>
    <t>Ａ</t>
  </si>
  <si>
    <t>基礎砕石工</t>
    <rPh sb="0" eb="2">
      <t>キソ</t>
    </rPh>
    <rPh sb="2" eb="4">
      <t>サイセキ</t>
    </rPh>
    <rPh sb="4" eb="5">
      <t>コウ</t>
    </rPh>
    <phoneticPr fontId="2"/>
  </si>
  <si>
    <r>
      <t>(ａ</t>
    </r>
    <r>
      <rPr>
        <vertAlign val="subscript"/>
        <sz val="10"/>
        <rFont val="ＭＳ ゴシック"/>
        <family val="3"/>
        <charset val="128"/>
      </rPr>
      <t>1</t>
    </r>
    <r>
      <rPr>
        <sz val="10"/>
        <rFont val="ＭＳ ゴシック"/>
        <family val="3"/>
        <charset val="128"/>
      </rPr>
      <t>)</t>
    </r>
  </si>
  <si>
    <t>ベント基礎工</t>
    <phoneticPr fontId="2"/>
  </si>
  <si>
    <t>ベント設備工</t>
    <phoneticPr fontId="2"/>
  </si>
  <si>
    <t>軌条桁工</t>
    <rPh sb="0" eb="3">
      <t>キジョウケタ</t>
    </rPh>
    <rPh sb="3" eb="4">
      <t>コウ</t>
    </rPh>
    <phoneticPr fontId="2"/>
  </si>
  <si>
    <r>
      <t>(ａ</t>
    </r>
    <r>
      <rPr>
        <vertAlign val="subscript"/>
        <sz val="10"/>
        <rFont val="ＭＳ ゴシック"/>
        <family val="3"/>
        <charset val="128"/>
      </rPr>
      <t>2</t>
    </r>
    <r>
      <rPr>
        <sz val="10"/>
        <rFont val="ＭＳ ゴシック"/>
        <family val="3"/>
        <charset val="128"/>
      </rPr>
      <t>)</t>
    </r>
  </si>
  <si>
    <t>軌条設備工</t>
    <rPh sb="0" eb="2">
      <t>キジョウ</t>
    </rPh>
    <rPh sb="2" eb="4">
      <t>セツビ</t>
    </rPh>
    <rPh sb="4" eb="5">
      <t>コウ</t>
    </rPh>
    <phoneticPr fontId="2"/>
  </si>
  <si>
    <r>
      <t>(ａ</t>
    </r>
    <r>
      <rPr>
        <vertAlign val="subscript"/>
        <sz val="10"/>
        <rFont val="ＭＳ ゴシック"/>
        <family val="3"/>
        <charset val="128"/>
      </rPr>
      <t>3</t>
    </r>
    <r>
      <rPr>
        <sz val="10"/>
        <rFont val="ＭＳ ゴシック"/>
        <family val="3"/>
        <charset val="128"/>
      </rPr>
      <t>)</t>
    </r>
  </si>
  <si>
    <t>送出し設備工</t>
    <rPh sb="0" eb="2">
      <t>オクリダ</t>
    </rPh>
    <rPh sb="3" eb="5">
      <t>セツビ</t>
    </rPh>
    <rPh sb="5" eb="6">
      <t>コウ</t>
    </rPh>
    <phoneticPr fontId="2"/>
  </si>
  <si>
    <t>Ｂ</t>
  </si>
  <si>
    <t>手延機・連結構</t>
    <rPh sb="0" eb="1">
      <t>テ</t>
    </rPh>
    <rPh sb="1" eb="2">
      <t>エン</t>
    </rPh>
    <rPh sb="2" eb="3">
      <t>キ</t>
    </rPh>
    <rPh sb="4" eb="6">
      <t>レンケツ</t>
    </rPh>
    <rPh sb="6" eb="7">
      <t>コウ</t>
    </rPh>
    <phoneticPr fontId="2"/>
  </si>
  <si>
    <r>
      <t>(ｂ</t>
    </r>
    <r>
      <rPr>
        <vertAlign val="subscript"/>
        <sz val="10"/>
        <rFont val="ＭＳ ゴシック"/>
        <family val="3"/>
        <charset val="128"/>
      </rPr>
      <t>1</t>
    </r>
    <r>
      <rPr>
        <sz val="10"/>
        <rFont val="ＭＳ ゴシック"/>
        <family val="3"/>
        <charset val="128"/>
      </rPr>
      <t>)</t>
    </r>
  </si>
  <si>
    <t>台車設備</t>
    <rPh sb="0" eb="2">
      <t>ダイシャ</t>
    </rPh>
    <rPh sb="2" eb="4">
      <t>セツビ</t>
    </rPh>
    <phoneticPr fontId="2"/>
  </si>
  <si>
    <r>
      <t>(ｂ</t>
    </r>
    <r>
      <rPr>
        <vertAlign val="subscript"/>
        <sz val="10"/>
        <rFont val="ＭＳ ゴシック"/>
        <family val="3"/>
        <charset val="128"/>
      </rPr>
      <t>2</t>
    </r>
    <r>
      <rPr>
        <sz val="10"/>
        <rFont val="ＭＳ ゴシック"/>
        <family val="3"/>
        <charset val="128"/>
      </rPr>
      <t>)</t>
    </r>
  </si>
  <si>
    <t>送出し装置設備</t>
    <rPh sb="0" eb="2">
      <t>オクリダ</t>
    </rPh>
    <rPh sb="3" eb="5">
      <t>ソウチ</t>
    </rPh>
    <rPh sb="5" eb="7">
      <t>セツビ</t>
    </rPh>
    <phoneticPr fontId="2"/>
  </si>
  <si>
    <r>
      <t>(ｂ</t>
    </r>
    <r>
      <rPr>
        <vertAlign val="subscript"/>
        <sz val="10"/>
        <rFont val="ＭＳ ゴシック"/>
        <family val="3"/>
        <charset val="128"/>
      </rPr>
      <t>3</t>
    </r>
    <r>
      <rPr>
        <sz val="10"/>
        <rFont val="ＭＳ ゴシック"/>
        <family val="3"/>
        <charset val="128"/>
      </rPr>
      <t>)</t>
    </r>
  </si>
  <si>
    <t>降下設備工</t>
    <phoneticPr fontId="2"/>
  </si>
  <si>
    <t>Ｃ</t>
  </si>
  <si>
    <t>横取り設備</t>
    <rPh sb="0" eb="2">
      <t>ヨコド</t>
    </rPh>
    <rPh sb="3" eb="5">
      <t>セツビ</t>
    </rPh>
    <phoneticPr fontId="2"/>
  </si>
  <si>
    <t>降下設備</t>
    <rPh sb="0" eb="2">
      <t>コウカ</t>
    </rPh>
    <rPh sb="2" eb="4">
      <t>セツビ</t>
    </rPh>
    <phoneticPr fontId="2"/>
  </si>
  <si>
    <r>
      <t>(ｃ</t>
    </r>
    <r>
      <rPr>
        <vertAlign val="subscript"/>
        <sz val="10"/>
        <rFont val="ＭＳ ゴシック"/>
        <family val="3"/>
        <charset val="128"/>
      </rPr>
      <t>1</t>
    </r>
    <r>
      <rPr>
        <sz val="10"/>
        <rFont val="ＭＳ ゴシック"/>
        <family val="3"/>
        <charset val="128"/>
      </rPr>
      <t>)</t>
    </r>
  </si>
  <si>
    <t>ケーブルクレーン設備工</t>
    <rPh sb="8" eb="10">
      <t>セツビ</t>
    </rPh>
    <rPh sb="10" eb="11">
      <t>コウ</t>
    </rPh>
    <phoneticPr fontId="2"/>
  </si>
  <si>
    <t>Ｄ</t>
  </si>
  <si>
    <t>溶接用架台設備工</t>
    <rPh sb="0" eb="3">
      <t>ヨウセツヨウ</t>
    </rPh>
    <rPh sb="3" eb="5">
      <t>カダイ</t>
    </rPh>
    <rPh sb="5" eb="7">
      <t>セツビ</t>
    </rPh>
    <rPh sb="7" eb="8">
      <t>コウ</t>
    </rPh>
    <phoneticPr fontId="2"/>
  </si>
  <si>
    <t>Ｅ</t>
  </si>
  <si>
    <t>桁架設工</t>
    <rPh sb="0" eb="1">
      <t>ケタ</t>
    </rPh>
    <rPh sb="1" eb="3">
      <t>カセツ</t>
    </rPh>
    <rPh sb="3" eb="4">
      <t>コウ</t>
    </rPh>
    <phoneticPr fontId="2"/>
  </si>
  <si>
    <t>Ｆ</t>
  </si>
  <si>
    <t>主桁組立工</t>
    <rPh sb="0" eb="1">
      <t>シュ</t>
    </rPh>
    <rPh sb="1" eb="2">
      <t>ケタ</t>
    </rPh>
    <rPh sb="2" eb="4">
      <t>クミタテ</t>
    </rPh>
    <rPh sb="4" eb="5">
      <t>コウ</t>
    </rPh>
    <phoneticPr fontId="2"/>
  </si>
  <si>
    <r>
      <t>(ｆ</t>
    </r>
    <r>
      <rPr>
        <vertAlign val="subscript"/>
        <sz val="10"/>
        <rFont val="ＭＳ ゴシック"/>
        <family val="3"/>
        <charset val="128"/>
      </rPr>
      <t>1</t>
    </r>
    <r>
      <rPr>
        <sz val="10"/>
        <rFont val="ＭＳ ゴシック"/>
        <family val="3"/>
        <charset val="128"/>
      </rPr>
      <t>)</t>
    </r>
  </si>
  <si>
    <t>主桁送出し工</t>
    <rPh sb="0" eb="1">
      <t>シュ</t>
    </rPh>
    <rPh sb="1" eb="2">
      <t>ケタ</t>
    </rPh>
    <rPh sb="2" eb="4">
      <t>オクリダ</t>
    </rPh>
    <rPh sb="5" eb="6">
      <t>コウ</t>
    </rPh>
    <phoneticPr fontId="2"/>
  </si>
  <si>
    <r>
      <t>(ｆ</t>
    </r>
    <r>
      <rPr>
        <vertAlign val="subscript"/>
        <sz val="10"/>
        <rFont val="ＭＳ ゴシック"/>
        <family val="3"/>
        <charset val="128"/>
      </rPr>
      <t>2</t>
    </r>
    <r>
      <rPr>
        <sz val="10"/>
        <rFont val="ＭＳ ゴシック"/>
        <family val="3"/>
        <charset val="128"/>
      </rPr>
      <t>)</t>
    </r>
  </si>
  <si>
    <t>主桁降下工</t>
    <rPh sb="0" eb="1">
      <t>シュ</t>
    </rPh>
    <rPh sb="1" eb="2">
      <t>ケタ</t>
    </rPh>
    <rPh sb="2" eb="4">
      <t>コウカ</t>
    </rPh>
    <rPh sb="4" eb="5">
      <t>コウ</t>
    </rPh>
    <phoneticPr fontId="2"/>
  </si>
  <si>
    <r>
      <t>(ｆ</t>
    </r>
    <r>
      <rPr>
        <vertAlign val="subscript"/>
        <sz val="10"/>
        <rFont val="ＭＳ ゴシック"/>
        <family val="3"/>
        <charset val="128"/>
      </rPr>
      <t>3</t>
    </r>
    <r>
      <rPr>
        <sz val="10"/>
        <rFont val="ＭＳ ゴシック"/>
        <family val="3"/>
        <charset val="128"/>
      </rPr>
      <t>)</t>
    </r>
  </si>
  <si>
    <t>主桁横取り工</t>
    <rPh sb="0" eb="1">
      <t>シュ</t>
    </rPh>
    <rPh sb="1" eb="2">
      <t>ケタ</t>
    </rPh>
    <rPh sb="2" eb="4">
      <t>ヨコド</t>
    </rPh>
    <rPh sb="5" eb="6">
      <t>コウ</t>
    </rPh>
    <phoneticPr fontId="2"/>
  </si>
  <si>
    <t>横桁組立工</t>
    <rPh sb="0" eb="2">
      <t>ヨコゲタ</t>
    </rPh>
    <rPh sb="2" eb="4">
      <t>クミタテ</t>
    </rPh>
    <rPh sb="4" eb="5">
      <t>コウ</t>
    </rPh>
    <phoneticPr fontId="2"/>
  </si>
  <si>
    <t>現場継手部溶接工</t>
    <rPh sb="0" eb="2">
      <t>ゲンバ</t>
    </rPh>
    <rPh sb="5" eb="7">
      <t>ヨウセツ</t>
    </rPh>
    <rPh sb="7" eb="8">
      <t>コウ</t>
    </rPh>
    <phoneticPr fontId="2"/>
  </si>
  <si>
    <t>Ｇ</t>
  </si>
  <si>
    <t>（検査考慮補正値）</t>
    <rPh sb="1" eb="3">
      <t>ケンサ</t>
    </rPh>
    <rPh sb="3" eb="5">
      <t>コウリョ</t>
    </rPh>
    <rPh sb="5" eb="7">
      <t>ホセイ</t>
    </rPh>
    <rPh sb="7" eb="8">
      <t>チ</t>
    </rPh>
    <phoneticPr fontId="2"/>
  </si>
  <si>
    <t>溶接用ケーシング設備工</t>
    <rPh sb="0" eb="3">
      <t>ヨウセツヨウ</t>
    </rPh>
    <rPh sb="8" eb="10">
      <t>セツビ</t>
    </rPh>
    <rPh sb="10" eb="11">
      <t>コウ</t>
    </rPh>
    <phoneticPr fontId="2"/>
  </si>
  <si>
    <t>Ｈ</t>
  </si>
  <si>
    <t>支承据付工</t>
    <rPh sb="2" eb="4">
      <t>スエツケ</t>
    </rPh>
    <rPh sb="4" eb="5">
      <t>コウ</t>
    </rPh>
    <phoneticPr fontId="2"/>
  </si>
  <si>
    <t>Ｉ</t>
  </si>
  <si>
    <t>高力ボルト本締工</t>
    <rPh sb="0" eb="1">
      <t>コウ</t>
    </rPh>
    <rPh sb="1" eb="2">
      <t>リョク</t>
    </rPh>
    <rPh sb="5" eb="6">
      <t>ボン</t>
    </rPh>
    <rPh sb="6" eb="7">
      <t>シメ</t>
    </rPh>
    <rPh sb="7" eb="8">
      <t>コウ</t>
    </rPh>
    <phoneticPr fontId="2"/>
  </si>
  <si>
    <t>Ｊ</t>
  </si>
  <si>
    <t>落橋防止装置取付工</t>
    <rPh sb="0" eb="1">
      <t>ラク</t>
    </rPh>
    <rPh sb="1" eb="2">
      <t>キョウ</t>
    </rPh>
    <rPh sb="2" eb="4">
      <t>ボウシ</t>
    </rPh>
    <rPh sb="4" eb="6">
      <t>ソウチ</t>
    </rPh>
    <rPh sb="6" eb="7">
      <t>ト</t>
    </rPh>
    <rPh sb="7" eb="8">
      <t>ツ</t>
    </rPh>
    <rPh sb="8" eb="9">
      <t>コウ</t>
    </rPh>
    <phoneticPr fontId="2"/>
  </si>
  <si>
    <t>Ｋ</t>
  </si>
  <si>
    <t>足場工</t>
    <rPh sb="0" eb="2">
      <t>アシバ</t>
    </rPh>
    <rPh sb="2" eb="3">
      <t>コウ</t>
    </rPh>
    <phoneticPr fontId="2"/>
  </si>
  <si>
    <t>Ｌ</t>
  </si>
  <si>
    <t>架設用足場</t>
    <phoneticPr fontId="2"/>
  </si>
  <si>
    <r>
      <t>(ｌ</t>
    </r>
    <r>
      <rPr>
        <vertAlign val="subscript"/>
        <sz val="10"/>
        <rFont val="ＭＳ ゴシック"/>
        <family val="3"/>
        <charset val="128"/>
      </rPr>
      <t>1</t>
    </r>
    <r>
      <rPr>
        <sz val="10"/>
        <rFont val="ＭＳ ゴシック"/>
        <family val="3"/>
        <charset val="128"/>
      </rPr>
      <t>)</t>
    </r>
  </si>
  <si>
    <t>架設用足場(送出しヤード)</t>
    <rPh sb="0" eb="2">
      <t>カセツ</t>
    </rPh>
    <rPh sb="2" eb="3">
      <t>ヨウ</t>
    </rPh>
    <rPh sb="3" eb="5">
      <t>アシバ</t>
    </rPh>
    <rPh sb="6" eb="8">
      <t>オクリダ</t>
    </rPh>
    <phoneticPr fontId="2"/>
  </si>
  <si>
    <t>登り桟橋</t>
    <phoneticPr fontId="2"/>
  </si>
  <si>
    <t>継手部現場塗装工</t>
    <rPh sb="0" eb="1">
      <t>ツギ</t>
    </rPh>
    <rPh sb="1" eb="2">
      <t>テ</t>
    </rPh>
    <rPh sb="2" eb="3">
      <t>ブ</t>
    </rPh>
    <rPh sb="3" eb="5">
      <t>ゲンバ</t>
    </rPh>
    <rPh sb="5" eb="7">
      <t>トソウ</t>
    </rPh>
    <rPh sb="7" eb="8">
      <t>コウ</t>
    </rPh>
    <phoneticPr fontId="2"/>
  </si>
  <si>
    <t>桁端処理工</t>
    <rPh sb="0" eb="1">
      <t>ケタ</t>
    </rPh>
    <rPh sb="1" eb="2">
      <t>ハシ</t>
    </rPh>
    <rPh sb="2" eb="4">
      <t>ショリ</t>
    </rPh>
    <rPh sb="4" eb="5">
      <t>コウ</t>
    </rPh>
    <phoneticPr fontId="2"/>
  </si>
  <si>
    <t>Ｍ</t>
  </si>
  <si>
    <t>合成床版架設工</t>
    <rPh sb="0" eb="2">
      <t>ゴウセイ</t>
    </rPh>
    <rPh sb="2" eb="4">
      <t>ショウバン</t>
    </rPh>
    <rPh sb="4" eb="6">
      <t>カセツ</t>
    </rPh>
    <rPh sb="6" eb="7">
      <t>コウ</t>
    </rPh>
    <phoneticPr fontId="2"/>
  </si>
  <si>
    <t>合　　　計</t>
  </si>
  <si>
    <t>※　継手部現場溶接工の検査を考慮した所要日数の補正</t>
    <rPh sb="2" eb="3">
      <t>ツギ</t>
    </rPh>
    <rPh sb="3" eb="4">
      <t>テ</t>
    </rPh>
    <rPh sb="4" eb="5">
      <t>ブ</t>
    </rPh>
    <rPh sb="5" eb="7">
      <t>ゲンバ</t>
    </rPh>
    <rPh sb="7" eb="9">
      <t>ヨウセツ</t>
    </rPh>
    <rPh sb="9" eb="10">
      <t>コウ</t>
    </rPh>
    <rPh sb="11" eb="13">
      <t>ケンサ</t>
    </rPh>
    <rPh sb="14" eb="16">
      <t>コウリョ</t>
    </rPh>
    <rPh sb="18" eb="20">
      <t>ショヨウ</t>
    </rPh>
    <rPh sb="20" eb="22">
      <t>ニッスウ</t>
    </rPh>
    <rPh sb="23" eb="25">
      <t>ホセイ</t>
    </rPh>
    <phoneticPr fontId="2"/>
  </si>
  <si>
    <t>ｄ＝</t>
    <phoneticPr fontId="2"/>
  </si>
  <si>
    <t>ｄ1＋ｄ2</t>
    <phoneticPr fontId="2"/>
  </si>
  <si>
    <t>日</t>
    <rPh sb="0" eb="1">
      <t>ニチ</t>
    </rPh>
    <phoneticPr fontId="2"/>
  </si>
  <si>
    <t>ｄ1：</t>
    <phoneticPr fontId="2"/>
  </si>
  <si>
    <t>溶接終了後から溶接検査（熱影響等）による待ち時間</t>
    <rPh sb="0" eb="2">
      <t>ヨウセツ</t>
    </rPh>
    <rPh sb="2" eb="5">
      <t>シュウリョウゴ</t>
    </rPh>
    <rPh sb="7" eb="9">
      <t>ヨウセツ</t>
    </rPh>
    <rPh sb="9" eb="11">
      <t>ケンサ</t>
    </rPh>
    <rPh sb="12" eb="13">
      <t>ネツ</t>
    </rPh>
    <rPh sb="13" eb="15">
      <t>エイキョウ</t>
    </rPh>
    <rPh sb="15" eb="16">
      <t>トウ</t>
    </rPh>
    <rPh sb="20" eb="21">
      <t>マ</t>
    </rPh>
    <rPh sb="22" eb="24">
      <t>ジカン</t>
    </rPh>
    <phoneticPr fontId="2"/>
  </si>
  <si>
    <t>ｄ2：</t>
    <phoneticPr fontId="2"/>
  </si>
  <si>
    <t>溶接検査時間</t>
    <rPh sb="0" eb="2">
      <t>ヨウセツ</t>
    </rPh>
    <rPh sb="2" eb="4">
      <t>ケンサ</t>
    </rPh>
    <rPh sb="4" eb="6">
      <t>ジカン</t>
    </rPh>
    <phoneticPr fontId="2"/>
  </si>
  <si>
    <t>総継手数</t>
    <rPh sb="0" eb="1">
      <t>ソウ</t>
    </rPh>
    <rPh sb="1" eb="2">
      <t>ツギ</t>
    </rPh>
    <rPh sb="2" eb="3">
      <t>テ</t>
    </rPh>
    <rPh sb="3" eb="4">
      <t>スウ</t>
    </rPh>
    <phoneticPr fontId="2"/>
  </si>
  <si>
    <t>Ｎ：</t>
    <phoneticPr fontId="2"/>
  </si>
  <si>
    <t>箇所</t>
    <rPh sb="0" eb="2">
      <t>カショ</t>
    </rPh>
    <phoneticPr fontId="2"/>
  </si>
  <si>
    <t>補正継手数</t>
    <rPh sb="0" eb="2">
      <t>ホセイ</t>
    </rPh>
    <rPh sb="2" eb="3">
      <t>ツギ</t>
    </rPh>
    <rPh sb="3" eb="4">
      <t>テ</t>
    </rPh>
    <rPh sb="4" eb="5">
      <t>スウ</t>
    </rPh>
    <phoneticPr fontId="2"/>
  </si>
  <si>
    <t>Ｘ：</t>
    <phoneticPr fontId="2"/>
  </si>
  <si>
    <t>（平均送出しブロック数</t>
    <rPh sb="1" eb="3">
      <t>ヘイキン</t>
    </rPh>
    <rPh sb="3" eb="5">
      <t>オクリダ</t>
    </rPh>
    <rPh sb="10" eb="11">
      <t>カズ</t>
    </rPh>
    <phoneticPr fontId="2"/>
  </si>
  <si>
    <t>ブロック）</t>
    <phoneticPr fontId="2"/>
  </si>
  <si>
    <t>パーティ数</t>
    <rPh sb="4" eb="5">
      <t>スウ</t>
    </rPh>
    <phoneticPr fontId="2"/>
  </si>
  <si>
    <t>Ｐ：</t>
    <phoneticPr fontId="2"/>
  </si>
  <si>
    <t>パーティ</t>
    <phoneticPr fontId="2"/>
  </si>
  <si>
    <t>所要日数</t>
    <rPh sb="0" eb="2">
      <t>ショヨウ</t>
    </rPh>
    <rPh sb="2" eb="4">
      <t>ニッスウ</t>
    </rPh>
    <phoneticPr fontId="2"/>
  </si>
  <si>
    <t>補正所要日数</t>
    <rPh sb="0" eb="2">
      <t>ホセイ</t>
    </rPh>
    <rPh sb="2" eb="4">
      <t>ショヨウ</t>
    </rPh>
    <rPh sb="4" eb="6">
      <t>ニッスウ</t>
    </rPh>
    <phoneticPr fontId="2"/>
  </si>
  <si>
    <t>＝</t>
    <phoneticPr fontId="2"/>
  </si>
  <si>
    <t>／</t>
    <phoneticPr fontId="2"/>
  </si>
  <si>
    <t>＋（</t>
    <phoneticPr fontId="2"/>
  </si>
  <si>
    <t>／</t>
    <phoneticPr fontId="2"/>
  </si>
  <si>
    <t>×</t>
    <phoneticPr fontId="2"/>
  </si>
  <si>
    <t>）</t>
    <phoneticPr fontId="2"/>
  </si>
  <si>
    <t>＝</t>
    <phoneticPr fontId="2"/>
  </si>
  <si>
    <t>７．架設機材の供用日数</t>
  </si>
  <si>
    <t>＝（</t>
  </si>
  <si>
    <t>＝</t>
  </si>
  <si>
    <t>日</t>
  </si>
  <si>
    <t>(1)　軌条桁</t>
  </si>
  <si>
    <t>｛ａ2＋ａ3＋Ｂ＋Ｃ＋Ｄ＋Ｅ＋Ｆ＋Ｈ＋Ｉ＋Ｊ＋Ｇ'＋Ｍ｝×1.7</t>
  </si>
  <si>
    <t>）×</t>
  </si>
  <si>
    <t>(2)　軌条設備</t>
  </si>
  <si>
    <t>｛ａ3＋Ｂ＋Ｃ＋Ｄ＋Ｅ＋Ｆ＋Ｈ＋Ｉ＋Ｊ＋Ｇ'＋Ｍ｝×1.7</t>
  </si>
  <si>
    <t>(3)　送出し設備</t>
  </si>
  <si>
    <t>　1)　手延機・連結構</t>
    <rPh sb="4" eb="5">
      <t>テ</t>
    </rPh>
    <rPh sb="5" eb="6">
      <t>ノ</t>
    </rPh>
    <rPh sb="6" eb="7">
      <t>キ</t>
    </rPh>
    <rPh sb="8" eb="10">
      <t>レンケツ</t>
    </rPh>
    <rPh sb="10" eb="11">
      <t>コウ</t>
    </rPh>
    <phoneticPr fontId="2"/>
  </si>
  <si>
    <t>｛Ｂ＋Ｃ＋Ｅ＋Ｆ＋Ｈ＋Ｉ＋Ｊ＋Ｇ'＋Ｍ｝×1.7</t>
  </si>
  <si>
    <t>　2)　台車設備</t>
    <rPh sb="4" eb="6">
      <t>ダイシャ</t>
    </rPh>
    <rPh sb="6" eb="8">
      <t>セツビ</t>
    </rPh>
    <phoneticPr fontId="2"/>
  </si>
  <si>
    <t>｛ｂ2＋ｂ3＋Ｃ＋Ｅ＋Ｆ＋Ｈ＋Ｉ＋Ｊ＋Ｇ'＋Ｍ｝×1.7</t>
  </si>
  <si>
    <t>　3)　送出し設備</t>
    <rPh sb="4" eb="6">
      <t>オクリダ</t>
    </rPh>
    <rPh sb="7" eb="9">
      <t>セツビ</t>
    </rPh>
    <phoneticPr fontId="2"/>
  </si>
  <si>
    <t>日数</t>
    <rPh sb="0" eb="2">
      <t>ニッスウ</t>
    </rPh>
    <phoneticPr fontId="2"/>
  </si>
  <si>
    <t>第１橋脚</t>
    <rPh sb="0" eb="1">
      <t>ダイ</t>
    </rPh>
    <rPh sb="2" eb="3">
      <t>キョウ</t>
    </rPh>
    <rPh sb="3" eb="4">
      <t>キャク</t>
    </rPh>
    <phoneticPr fontId="2"/>
  </si>
  <si>
    <t>（ｂ3＋ｆ1＋Ｊ＋ｆ2＋Ｍ＋Ｅ＋Ｇ'＋Ｈ＋ｂ1×0.4）</t>
  </si>
  <si>
    <t>第２橋脚</t>
    <rPh sb="0" eb="1">
      <t>ダイ</t>
    </rPh>
    <rPh sb="2" eb="4">
      <t>キョウキャク</t>
    </rPh>
    <phoneticPr fontId="2"/>
  </si>
  <si>
    <t>第３橋脚</t>
    <rPh sb="0" eb="1">
      <t>ダイ</t>
    </rPh>
    <rPh sb="2" eb="4">
      <t>キョウキャク</t>
    </rPh>
    <phoneticPr fontId="2"/>
  </si>
  <si>
    <t>（ｂ3×2/4＋ｆ1×2/3＋Ｊ×2/3＋ｆ2×2/3＋Ｍ＋Ｅ×2/3＋Ｇ'×2/3＋Ｈ×2/3＋ｂ1×0.4）</t>
  </si>
  <si>
    <t>第４橋脚</t>
    <rPh sb="0" eb="1">
      <t>ダイ</t>
    </rPh>
    <rPh sb="2" eb="4">
      <t>キョウキャク</t>
    </rPh>
    <phoneticPr fontId="2"/>
  </si>
  <si>
    <t>（ｂ3×1/4＋ｆ1×1/3＋Ｊ×1/3＋ｆ2×1/3＋Ｍ＋Ｅ×1/3＋Ｇ'×1/3＋Ｈ×1/3＋ｂ1×0.4）</t>
  </si>
  <si>
    <t>第５橋脚</t>
    <rPh sb="0" eb="1">
      <t>ダイ</t>
    </rPh>
    <rPh sb="2" eb="4">
      <t>キョウキャク</t>
    </rPh>
    <phoneticPr fontId="2"/>
  </si>
  <si>
    <t>第６橋脚</t>
    <rPh sb="0" eb="1">
      <t>ダイ</t>
    </rPh>
    <rPh sb="2" eb="4">
      <t>キョウキャク</t>
    </rPh>
    <phoneticPr fontId="2"/>
  </si>
  <si>
    <t>第７橋脚</t>
    <rPh sb="0" eb="1">
      <t>ダイ</t>
    </rPh>
    <rPh sb="2" eb="4">
      <t>キョウキャク</t>
    </rPh>
    <phoneticPr fontId="2"/>
  </si>
  <si>
    <t>第８橋脚</t>
    <rPh sb="0" eb="1">
      <t>ダイ</t>
    </rPh>
    <rPh sb="2" eb="4">
      <t>キョウキャク</t>
    </rPh>
    <phoneticPr fontId="2"/>
  </si>
  <si>
    <t>第９橋脚</t>
    <rPh sb="0" eb="1">
      <t>ダイ</t>
    </rPh>
    <rPh sb="2" eb="4">
      <t>キョウキャク</t>
    </rPh>
    <phoneticPr fontId="2"/>
  </si>
  <si>
    <t>第１０橋脚</t>
    <rPh sb="0" eb="1">
      <t>ダイ</t>
    </rPh>
    <rPh sb="3" eb="5">
      <t>キョウキャク</t>
    </rPh>
    <phoneticPr fontId="2"/>
  </si>
  <si>
    <t>第１１橋脚</t>
    <rPh sb="0" eb="1">
      <t>ダイ</t>
    </rPh>
    <rPh sb="3" eb="5">
      <t>キョウキャク</t>
    </rPh>
    <phoneticPr fontId="2"/>
  </si>
  <si>
    <t>計</t>
    <rPh sb="0" eb="1">
      <t>ケイ</t>
    </rPh>
    <phoneticPr fontId="2"/>
  </si>
  <si>
    <t>×</t>
    <phoneticPr fontId="2"/>
  </si>
  <si>
    <t>＝</t>
    <phoneticPr fontId="2"/>
  </si>
  <si>
    <t>(4)　降下設備</t>
  </si>
  <si>
    <t>　1)　横取り設備</t>
    <rPh sb="4" eb="6">
      <t>ヨコド</t>
    </rPh>
    <rPh sb="7" eb="9">
      <t>セツビ</t>
    </rPh>
    <phoneticPr fontId="2"/>
  </si>
  <si>
    <t>（設備使用率 α＝ 横取り回数/送出し回数 ＝</t>
    <rPh sb="1" eb="3">
      <t>セツビ</t>
    </rPh>
    <rPh sb="3" eb="5">
      <t>シヨウ</t>
    </rPh>
    <rPh sb="5" eb="6">
      <t>リツ</t>
    </rPh>
    <rPh sb="10" eb="12">
      <t>ヨコド</t>
    </rPh>
    <rPh sb="13" eb="15">
      <t>カイスウ</t>
    </rPh>
    <rPh sb="16" eb="18">
      <t>オクリダ</t>
    </rPh>
    <rPh sb="19" eb="21">
      <t>カイスウ</t>
    </rPh>
    <phoneticPr fontId="2"/>
  </si>
  <si>
    <t>／</t>
    <phoneticPr fontId="2"/>
  </si>
  <si>
    <t>）</t>
    <phoneticPr fontId="2"/>
  </si>
  <si>
    <t>　2)　降下設備</t>
    <rPh sb="4" eb="6">
      <t>コウカ</t>
    </rPh>
    <rPh sb="6" eb="8">
      <t>セツビ</t>
    </rPh>
    <phoneticPr fontId="2"/>
  </si>
  <si>
    <t>｛ｂ3＋ｃ1＋Ｅ＋Ｆ＋Ｈ＋Ｊ＋Ｇ'＋Ｍ｝×1.7</t>
  </si>
  <si>
    <t>(5)　ケーブルクレーン設備</t>
  </si>
  <si>
    <t>｛Ｂ＋Ｃ＋Ｄ＋Ｅ＋Ｆ＋Ｈ＋Ｉ＋Ｊ＋Ｇ'＋Ｍ｝×1.7</t>
  </si>
  <si>
    <t>(6)　ドリフトピン・仮締めボルト</t>
  </si>
  <si>
    <t>｛Ａ＋Ｂ＋Ｃ＋Ｄ＋Ｅ＋Ｆ＋Ｈ＋Ｉ＋Ｊ＋Ｇ'＋Ｍ｝×1.7</t>
  </si>
  <si>
    <t>(7)　足場工（架設区間）</t>
  </si>
  <si>
    <t>　1)　主体足場</t>
    <phoneticPr fontId="2"/>
  </si>
  <si>
    <t>｛Ａ＋Ｂ＋Ｃ＋Ｄ＋Ｅ＋Ｆ＋Ｈ＋Ｉ＋Ｊ＋Ｋ＋ｌ1＋Ｇ'＋Ｍ｝×1.7／30</t>
  </si>
  <si>
    <t>／</t>
  </si>
  <si>
    <t>ヶ月</t>
  </si>
  <si>
    <t>　2)　中段足場、安全足場、部分作業床</t>
  </si>
  <si>
    <t>｛Ｆ＋Ｈ＋Ｉ＋Ｊ＋Ｋ＋ｉ1-2＋ｉ1-3＋ｉ1-4＋Ｇ'＋Ｍ｝×1.7／30</t>
  </si>
  <si>
    <t>　3)　登り桟橋</t>
    <phoneticPr fontId="2"/>
  </si>
  <si>
    <t>(8)　溶接用架台設備</t>
  </si>
  <si>
    <t>｛Ｅ＋ｆ1＋ｆ2＋Ｈ＋Ｇ'＋Ｊ｝×1.7</t>
  </si>
  <si>
    <t>(9)　現場溶接用使用機械器具</t>
  </si>
  <si>
    <t>(10)　溶接用ケーシング設備</t>
  </si>
  <si>
    <t>１．送出しヤード工</t>
    <rPh sb="2" eb="4">
      <t>オクリダ</t>
    </rPh>
    <rPh sb="8" eb="9">
      <t>コウ</t>
    </rPh>
    <phoneticPr fontId="2"/>
  </si>
  <si>
    <t>１－①　基礎砕石工</t>
  </si>
  <si>
    <t>・砕石厚</t>
    <rPh sb="1" eb="3">
      <t>サイセキ</t>
    </rPh>
    <rPh sb="3" eb="4">
      <t>アツ</t>
    </rPh>
    <phoneticPr fontId="2"/>
  </si>
  <si>
    <t>ｍ</t>
    <phoneticPr fontId="2"/>
  </si>
  <si>
    <t>・送出しヤード設備長</t>
    <rPh sb="1" eb="3">
      <t>オクリダ</t>
    </rPh>
    <rPh sb="7" eb="9">
      <t>セツビ</t>
    </rPh>
    <rPh sb="9" eb="10">
      <t>チョウ</t>
    </rPh>
    <phoneticPr fontId="2"/>
  </si>
  <si>
    <t>＝</t>
    <phoneticPr fontId="2"/>
  </si>
  <si>
    <t>×</t>
    <phoneticPr fontId="2"/>
  </si>
  <si>
    <t>・送出しヤード幅</t>
    <rPh sb="1" eb="3">
      <t>オクリダ</t>
    </rPh>
    <rPh sb="7" eb="8">
      <t>ハバ</t>
    </rPh>
    <phoneticPr fontId="2"/>
  </si>
  <si>
    <t>（送出し主桁間隔）＋（余裕幅）</t>
    <rPh sb="1" eb="3">
      <t>オクリダ</t>
    </rPh>
    <rPh sb="4" eb="5">
      <t>シュ</t>
    </rPh>
    <rPh sb="5" eb="6">
      <t>ケタ</t>
    </rPh>
    <rPh sb="6" eb="8">
      <t>カンカク</t>
    </rPh>
    <rPh sb="11" eb="13">
      <t>ヨユウ</t>
    </rPh>
    <rPh sb="13" eb="14">
      <t>ハバ</t>
    </rPh>
    <phoneticPr fontId="2"/>
  </si>
  <si>
    <t>＋</t>
    <phoneticPr fontId="2"/>
  </si>
  <si>
    <t>・日当り施工量</t>
  </si>
  <si>
    <t>Ｄ＝</t>
    <phoneticPr fontId="2"/>
  </si>
  <si>
    <r>
      <t>m</t>
    </r>
    <r>
      <rPr>
        <vertAlign val="superscript"/>
        <sz val="10"/>
        <rFont val="ＭＳ ゴシック"/>
        <family val="3"/>
        <charset val="128"/>
      </rPr>
      <t>2</t>
    </r>
    <r>
      <rPr>
        <sz val="10"/>
        <rFont val="ＭＳ ゴシック"/>
        <family val="3"/>
        <charset val="128"/>
      </rPr>
      <t>/日</t>
    </r>
    <rPh sb="3" eb="4">
      <t>ニチ</t>
    </rPh>
    <phoneticPr fontId="2"/>
  </si>
  <si>
    <t>・所要日数</t>
  </si>
  <si>
    <r>
      <t>ａ</t>
    </r>
    <r>
      <rPr>
        <vertAlign val="subscript"/>
        <sz val="10"/>
        <rFont val="ＭＳ ゴシック"/>
        <family val="3"/>
        <charset val="128"/>
      </rPr>
      <t>1</t>
    </r>
    <r>
      <rPr>
        <sz val="10"/>
        <rFont val="ＭＳ ゴシック"/>
        <family val="3"/>
        <charset val="128"/>
      </rPr>
      <t>＝</t>
    </r>
  </si>
  <si>
    <t>(ヤード面積)／Ｄ</t>
    <rPh sb="4" eb="6">
      <t>メンセキ</t>
    </rPh>
    <phoneticPr fontId="2"/>
  </si>
  <si>
    <t>Ａ＝</t>
    <phoneticPr fontId="2"/>
  </si>
  <si>
    <t>＝（</t>
    <phoneticPr fontId="2"/>
  </si>
  <si>
    <t>×</t>
    <phoneticPr fontId="2"/>
  </si>
  <si>
    <t>）×</t>
    <phoneticPr fontId="2"/>
  </si>
  <si>
    <t>Ａ：</t>
  </si>
  <si>
    <r>
      <t>ベント基礎の延面積（ｍ</t>
    </r>
    <r>
      <rPr>
        <vertAlign val="superscript"/>
        <sz val="10"/>
        <rFont val="ＭＳ ゴシック"/>
        <family val="3"/>
        <charset val="128"/>
      </rPr>
      <t>2</t>
    </r>
    <r>
      <rPr>
        <sz val="10"/>
        <rFont val="ＭＳ ゴシック"/>
        <family val="3"/>
        <charset val="128"/>
      </rPr>
      <t>）</t>
    </r>
    <phoneticPr fontId="2"/>
  </si>
  <si>
    <t>Ｂ：</t>
  </si>
  <si>
    <t>構造幅（ｍ）</t>
    <rPh sb="0" eb="2">
      <t>コウゾウ</t>
    </rPh>
    <rPh sb="2" eb="3">
      <t>ハバ</t>
    </rPh>
    <phoneticPr fontId="2"/>
  </si>
  <si>
    <t>（＝</t>
    <phoneticPr fontId="2"/>
  </si>
  <si>
    <t>）</t>
    <phoneticPr fontId="2"/>
  </si>
  <si>
    <t>ベント数（基）</t>
    <rPh sb="3" eb="4">
      <t>カズ</t>
    </rPh>
    <rPh sb="5" eb="6">
      <t>モト</t>
    </rPh>
    <phoneticPr fontId="2"/>
  </si>
  <si>
    <t>）下記の算出根拠参照</t>
    <phoneticPr fontId="2"/>
  </si>
  <si>
    <t>Ｄa＝</t>
    <phoneticPr fontId="2"/>
  </si>
  <si>
    <t>Ａ／（0.011Ａ＋0.55）</t>
    <phoneticPr fontId="2"/>
  </si>
  <si>
    <t>／（</t>
    <phoneticPr fontId="2"/>
  </si>
  <si>
    <t>／</t>
    <phoneticPr fontId="2"/>
  </si>
  <si>
    <t>※ベント設置基数の算出根拠</t>
    <rPh sb="4" eb="6">
      <t>セッチ</t>
    </rPh>
    <rPh sb="6" eb="8">
      <t>キスウ</t>
    </rPh>
    <rPh sb="9" eb="11">
      <t>サンシュツ</t>
    </rPh>
    <rPh sb="11" eb="13">
      <t>コンキョ</t>
    </rPh>
    <phoneticPr fontId="2"/>
  </si>
  <si>
    <t>最大台車反力（Ｒ）よりベント間隔を算出する。</t>
    <rPh sb="0" eb="2">
      <t>サイダイ</t>
    </rPh>
    <rPh sb="2" eb="4">
      <t>ダイシャ</t>
    </rPh>
    <rPh sb="4" eb="5">
      <t>ハン</t>
    </rPh>
    <rPh sb="5" eb="6">
      <t>リョク</t>
    </rPh>
    <rPh sb="14" eb="16">
      <t>カンカク</t>
    </rPh>
    <rPh sb="17" eb="19">
      <t>サンシュツ</t>
    </rPh>
    <phoneticPr fontId="2"/>
  </si>
  <si>
    <t>Ｒ＝</t>
    <phoneticPr fontId="2"/>
  </si>
  <si>
    <r>
      <t>Ｗ</t>
    </r>
    <r>
      <rPr>
        <vertAlign val="subscript"/>
        <sz val="10"/>
        <rFont val="ＭＳ ゴシック"/>
        <family val="3"/>
        <charset val="128"/>
      </rPr>
      <t>1</t>
    </r>
    <r>
      <rPr>
        <sz val="10"/>
        <rFont val="ＭＳ ゴシック"/>
        <family val="3"/>
        <charset val="128"/>
      </rPr>
      <t>＋Ｗ</t>
    </r>
    <r>
      <rPr>
        <vertAlign val="subscript"/>
        <sz val="10"/>
        <rFont val="ＭＳ ゴシック"/>
        <family val="3"/>
        <charset val="128"/>
      </rPr>
      <t>2</t>
    </r>
    <r>
      <rPr>
        <sz val="10"/>
        <rFont val="ＭＳ ゴシック"/>
        <family val="3"/>
        <charset val="128"/>
      </rPr>
      <t>＋Ｗ</t>
    </r>
    <phoneticPr fontId="2"/>
  </si>
  <si>
    <t>手延機の質量</t>
    <rPh sb="0" eb="3">
      <t>テノベキ</t>
    </rPh>
    <rPh sb="4" eb="6">
      <t>シツリョウ</t>
    </rPh>
    <phoneticPr fontId="2"/>
  </si>
  <si>
    <t>連結構の質量</t>
    <rPh sb="0" eb="2">
      <t>レンケツ</t>
    </rPh>
    <rPh sb="2" eb="3">
      <t>コウ</t>
    </rPh>
    <rPh sb="4" eb="6">
      <t>シツリョウ</t>
    </rPh>
    <phoneticPr fontId="2"/>
  </si>
  <si>
    <t>１径間の橋体質量</t>
    <rPh sb="1" eb="3">
      <t>ケイカン</t>
    </rPh>
    <rPh sb="4" eb="5">
      <t>ハシ</t>
    </rPh>
    <rPh sb="5" eb="6">
      <t>カラダ</t>
    </rPh>
    <rPh sb="6" eb="8">
      <t>シツリョウ</t>
    </rPh>
    <phoneticPr fontId="2"/>
  </si>
  <si>
    <t>・支間長</t>
    <rPh sb="1" eb="3">
      <t>シカン</t>
    </rPh>
    <rPh sb="3" eb="4">
      <t>チョウ</t>
    </rPh>
    <phoneticPr fontId="2"/>
  </si>
  <si>
    <t>・手延機の質量</t>
    <rPh sb="1" eb="4">
      <t>テノベキ</t>
    </rPh>
    <rPh sb="5" eb="7">
      <t>シツリョウ</t>
    </rPh>
    <phoneticPr fontId="2"/>
  </si>
  <si>
    <r>
      <t>Ｗ</t>
    </r>
    <r>
      <rPr>
        <vertAlign val="subscript"/>
        <sz val="10"/>
        <rFont val="ＭＳ ゴシック"/>
        <family val="3"/>
        <charset val="128"/>
      </rPr>
      <t>1</t>
    </r>
    <r>
      <rPr>
        <sz val="10"/>
        <rFont val="ＭＳ ゴシック"/>
        <family val="3"/>
        <charset val="128"/>
      </rPr>
      <t>＝</t>
    </r>
    <phoneticPr fontId="2"/>
  </si>
  <si>
    <t>ｔ</t>
    <phoneticPr fontId="2"/>
  </si>
  <si>
    <t>（Ｌ：最大支間長、α：鈑桁=1.00,箱桁=1.15）</t>
    <rPh sb="3" eb="5">
      <t>サイダイ</t>
    </rPh>
    <rPh sb="5" eb="7">
      <t>シカン</t>
    </rPh>
    <rPh sb="7" eb="8">
      <t>チョウ</t>
    </rPh>
    <rPh sb="11" eb="13">
      <t>バンゲタ</t>
    </rPh>
    <rPh sb="19" eb="21">
      <t>ハコゲタ</t>
    </rPh>
    <phoneticPr fontId="2"/>
  </si>
  <si>
    <t>・手延機の高さ</t>
    <rPh sb="1" eb="4">
      <t>テノベキ</t>
    </rPh>
    <rPh sb="5" eb="6">
      <t>タカ</t>
    </rPh>
    <phoneticPr fontId="2"/>
  </si>
  <si>
    <t>ｈ＝</t>
    <phoneticPr fontId="2"/>
  </si>
  <si>
    <t>（「橋梁架設工事の積算 令和2年度版」表2-3-81）</t>
    <rPh sb="2" eb="4">
      <t>キョウリョウ</t>
    </rPh>
    <rPh sb="4" eb="6">
      <t>カセツ</t>
    </rPh>
    <rPh sb="6" eb="8">
      <t>コウジ</t>
    </rPh>
    <rPh sb="9" eb="11">
      <t>セキサン</t>
    </rPh>
    <rPh sb="12" eb="14">
      <t>レイワ</t>
    </rPh>
    <rPh sb="17" eb="18">
      <t>バン</t>
    </rPh>
    <rPh sb="19" eb="20">
      <t>ヒョウ</t>
    </rPh>
    <phoneticPr fontId="2"/>
  </si>
  <si>
    <t>・手延機と主桁の高さの差</t>
    <rPh sb="1" eb="4">
      <t>テノベキ</t>
    </rPh>
    <rPh sb="5" eb="6">
      <t>シュ</t>
    </rPh>
    <rPh sb="6" eb="7">
      <t>ケタ</t>
    </rPh>
    <rPh sb="8" eb="9">
      <t>タカ</t>
    </rPh>
    <rPh sb="11" eb="12">
      <t>サ</t>
    </rPh>
    <phoneticPr fontId="2"/>
  </si>
  <si>
    <t>－</t>
    <phoneticPr fontId="2"/>
  </si>
  <si>
    <t>・橋体の単位長さ当りの質量</t>
    <rPh sb="1" eb="3">
      <t>キョウタイ</t>
    </rPh>
    <rPh sb="4" eb="6">
      <t>タンイ</t>
    </rPh>
    <rPh sb="6" eb="7">
      <t>ナガ</t>
    </rPh>
    <rPh sb="8" eb="9">
      <t>アタ</t>
    </rPh>
    <rPh sb="11" eb="13">
      <t>シツリョウ</t>
    </rPh>
    <phoneticPr fontId="2"/>
  </si>
  <si>
    <t>ｗ＝</t>
    <phoneticPr fontId="2"/>
  </si>
  <si>
    <t>ｔ/ｍ</t>
    <phoneticPr fontId="2"/>
  </si>
  <si>
    <t>・連結構の質量</t>
    <rPh sb="1" eb="2">
      <t>レン</t>
    </rPh>
    <rPh sb="2" eb="4">
      <t>ケッコウ</t>
    </rPh>
    <rPh sb="5" eb="7">
      <t>シツリョウ</t>
    </rPh>
    <phoneticPr fontId="2"/>
  </si>
  <si>
    <r>
      <t>Ｗ</t>
    </r>
    <r>
      <rPr>
        <vertAlign val="subscript"/>
        <sz val="10"/>
        <rFont val="ＭＳ ゴシック"/>
        <family val="3"/>
        <charset val="128"/>
      </rPr>
      <t>2</t>
    </r>
    <r>
      <rPr>
        <sz val="10"/>
        <rFont val="ＭＳ ゴシック"/>
        <family val="3"/>
        <charset val="128"/>
      </rPr>
      <t>＝</t>
    </r>
    <phoneticPr fontId="2"/>
  </si>
  <si>
    <t>（ｋ：斜角による質量割増率）</t>
    <rPh sb="3" eb="4">
      <t>シャ</t>
    </rPh>
    <rPh sb="4" eb="5">
      <t>カク</t>
    </rPh>
    <rPh sb="8" eb="10">
      <t>シツリョウ</t>
    </rPh>
    <rPh sb="10" eb="12">
      <t>ワリマシ</t>
    </rPh>
    <rPh sb="12" eb="13">
      <t>リツ</t>
    </rPh>
    <phoneticPr fontId="2"/>
  </si>
  <si>
    <t>・１径間の橋体質量</t>
    <rPh sb="2" eb="4">
      <t>ケイカン</t>
    </rPh>
    <rPh sb="5" eb="7">
      <t>キョウタイ</t>
    </rPh>
    <rPh sb="7" eb="9">
      <t>シツリョウ</t>
    </rPh>
    <phoneticPr fontId="2"/>
  </si>
  <si>
    <t>Ｗ＝</t>
    <phoneticPr fontId="2"/>
  </si>
  <si>
    <t>・最大台車反力</t>
    <rPh sb="1" eb="3">
      <t>サイダイ</t>
    </rPh>
    <rPh sb="3" eb="5">
      <t>ダイシャ</t>
    </rPh>
    <rPh sb="5" eb="6">
      <t>ハン</t>
    </rPh>
    <rPh sb="6" eb="7">
      <t>リョク</t>
    </rPh>
    <phoneticPr fontId="2"/>
  </si>
  <si>
    <r>
      <t>Ｗ</t>
    </r>
    <r>
      <rPr>
        <vertAlign val="subscript"/>
        <sz val="10"/>
        <rFont val="ＭＳ ゴシック"/>
        <family val="3"/>
        <charset val="128"/>
      </rPr>
      <t>1</t>
    </r>
    <r>
      <rPr>
        <sz val="10"/>
        <rFont val="ＭＳ ゴシック"/>
        <family val="3"/>
        <charset val="128"/>
      </rPr>
      <t>＋Ｗ</t>
    </r>
    <r>
      <rPr>
        <vertAlign val="subscript"/>
        <sz val="10"/>
        <rFont val="ＭＳ ゴシック"/>
        <family val="3"/>
        <charset val="128"/>
      </rPr>
      <t>2</t>
    </r>
    <r>
      <rPr>
        <sz val="10"/>
        <rFont val="ＭＳ ゴシック"/>
        <family val="3"/>
        <charset val="128"/>
      </rPr>
      <t>＋Ｗ</t>
    </r>
    <phoneticPr fontId="2"/>
  </si>
  <si>
    <t>＝（</t>
    <phoneticPr fontId="2"/>
  </si>
  <si>
    <t>・ベント間隔</t>
    <rPh sb="4" eb="6">
      <t>カンカク</t>
    </rPh>
    <phoneticPr fontId="2"/>
  </si>
  <si>
    <t>（「橋梁架設工事の積算 令和2年度版」表2-3-87）</t>
    <phoneticPr fontId="2"/>
  </si>
  <si>
    <t>Ｌｙ＝</t>
    <phoneticPr fontId="2"/>
  </si>
  <si>
    <t>1.5Ｌ＋5.5</t>
    <phoneticPr fontId="2"/>
  </si>
  <si>
    <t>＋</t>
    <phoneticPr fontId="2"/>
  </si>
  <si>
    <t>・ベント設置基数</t>
    <rPh sb="4" eb="6">
      <t>セッチ</t>
    </rPh>
    <rPh sb="6" eb="8">
      <t>キスウ</t>
    </rPh>
    <phoneticPr fontId="2"/>
  </si>
  <si>
    <t>）＋</t>
    <phoneticPr fontId="2"/>
  </si>
  <si>
    <t>基</t>
    <rPh sb="0" eb="1">
      <t>キ</t>
    </rPh>
    <phoneticPr fontId="2"/>
  </si>
  <si>
    <t>Ｔ＝</t>
    <phoneticPr fontId="2"/>
  </si>
  <si>
    <t>0.237×C×n×h+0.186×n×(Ly+1)+0.2×C×(B+1.5)+0.015×n×(Ly+1)×h</t>
    <phoneticPr fontId="2"/>
  </si>
  <si>
    <t>送出しヤードのベント質量（ｔ）</t>
    <rPh sb="0" eb="2">
      <t>オクリダ</t>
    </rPh>
    <rPh sb="10" eb="12">
      <t>シツリョウ</t>
    </rPh>
    <phoneticPr fontId="2"/>
  </si>
  <si>
    <t>C：</t>
    <phoneticPr fontId="2"/>
  </si>
  <si>
    <t>送出しヤードベント柱列数</t>
    <rPh sb="0" eb="2">
      <t>オクリダ</t>
    </rPh>
    <rPh sb="9" eb="10">
      <t>ハシラ</t>
    </rPh>
    <rPh sb="10" eb="12">
      <t>レツスウ</t>
    </rPh>
    <phoneticPr fontId="2"/>
  </si>
  <si>
    <t>送出しヤードベント柱本数（本）</t>
    <rPh sb="0" eb="2">
      <t>オクリダ</t>
    </rPh>
    <rPh sb="9" eb="10">
      <t>ハシラ</t>
    </rPh>
    <rPh sb="10" eb="12">
      <t>ホンスウ</t>
    </rPh>
    <rPh sb="13" eb="14">
      <t>ホン</t>
    </rPh>
    <phoneticPr fontId="2"/>
  </si>
  <si>
    <t>送出しヤードベント高さ（ｍ）</t>
    <rPh sb="0" eb="2">
      <t>オクリダ</t>
    </rPh>
    <rPh sb="9" eb="10">
      <t>タカ</t>
    </rPh>
    <phoneticPr fontId="2"/>
  </si>
  <si>
    <t>）</t>
    <phoneticPr fontId="2"/>
  </si>
  <si>
    <t>Ly：</t>
    <phoneticPr fontId="2"/>
  </si>
  <si>
    <t>送りヤード設備長</t>
    <rPh sb="0" eb="1">
      <t>オク</t>
    </rPh>
    <rPh sb="5" eb="7">
      <t>セツビ</t>
    </rPh>
    <rPh sb="7" eb="8">
      <t>チョウ</t>
    </rPh>
    <phoneticPr fontId="2"/>
  </si>
  <si>
    <t>t/日</t>
    <rPh sb="2" eb="3">
      <t>ニチ</t>
    </rPh>
    <phoneticPr fontId="2"/>
  </si>
  <si>
    <t>１－②　軌条桁工</t>
  </si>
  <si>
    <t>Ｌｙ＝</t>
    <phoneticPr fontId="2"/>
  </si>
  <si>
    <t>1.5Ｌ＋5.5</t>
    <phoneticPr fontId="2"/>
  </si>
  <si>
    <t>（Ｌ：最大支間長）</t>
    <rPh sb="3" eb="5">
      <t>サイダイ</t>
    </rPh>
    <rPh sb="5" eb="7">
      <t>シカン</t>
    </rPh>
    <rPh sb="7" eb="8">
      <t>チョウ</t>
    </rPh>
    <phoneticPr fontId="2"/>
  </si>
  <si>
    <t>手延機長さ</t>
  </si>
  <si>
    <t>橋体の単位長さ質量は下記参照</t>
  </si>
  <si>
    <t>｜＝</t>
    <phoneticPr fontId="2"/>
  </si>
  <si>
    <t>1.65ｗ（3｜Ｈ－ｈ｜＋1）×ｋ</t>
    <phoneticPr fontId="6"/>
  </si>
  <si>
    <t>×</t>
    <phoneticPr fontId="6"/>
  </si>
  <si>
    <t>×（</t>
    <phoneticPr fontId="6"/>
  </si>
  <si>
    <t>送出しヤードは取付部である。</t>
  </si>
  <si>
    <t>∴</t>
    <phoneticPr fontId="2"/>
  </si>
  <si>
    <t>Ｈ－</t>
    <phoneticPr fontId="2"/>
  </si>
  <si>
    <t>を使用する</t>
    <rPh sb="1" eb="3">
      <t>シヨウ</t>
    </rPh>
    <phoneticPr fontId="2"/>
  </si>
  <si>
    <t>・軌条桁設備質量</t>
    <rPh sb="1" eb="4">
      <t>キジョウケタ</t>
    </rPh>
    <rPh sb="4" eb="6">
      <t>セツビ</t>
    </rPh>
    <rPh sb="6" eb="8">
      <t>シツリョウ</t>
    </rPh>
    <phoneticPr fontId="2"/>
  </si>
  <si>
    <r>
      <t>Ｗ</t>
    </r>
    <r>
      <rPr>
        <vertAlign val="subscript"/>
        <sz val="10"/>
        <rFont val="ＭＳ ゴシック"/>
        <family val="3"/>
        <charset val="128"/>
      </rPr>
      <t>20</t>
    </r>
    <r>
      <rPr>
        <sz val="10"/>
        <rFont val="ＭＳ ゴシック"/>
        <family val="3"/>
        <charset val="128"/>
      </rPr>
      <t>＝</t>
    </r>
    <phoneticPr fontId="2"/>
  </si>
  <si>
    <t>0.093×1.2×２×Ｌｙ</t>
  </si>
  <si>
    <t>・日当り施工量</t>
    <rPh sb="1" eb="3">
      <t>ヒアタ</t>
    </rPh>
    <rPh sb="4" eb="6">
      <t>セコウ</t>
    </rPh>
    <rPh sb="6" eb="7">
      <t>リョウ</t>
    </rPh>
    <phoneticPr fontId="2"/>
  </si>
  <si>
    <r>
      <t>Ｗ</t>
    </r>
    <r>
      <rPr>
        <vertAlign val="subscript"/>
        <sz val="10"/>
        <rFont val="ＭＳ ゴシック"/>
        <family val="3"/>
        <charset val="128"/>
      </rPr>
      <t>20</t>
    </r>
    <r>
      <rPr>
        <sz val="10"/>
        <rFont val="ＭＳ ゴシック"/>
        <family val="3"/>
        <charset val="128"/>
      </rPr>
      <t>／（0.18Ｗ</t>
    </r>
    <r>
      <rPr>
        <vertAlign val="subscript"/>
        <sz val="10"/>
        <rFont val="ＭＳ ゴシック"/>
        <family val="3"/>
        <charset val="128"/>
      </rPr>
      <t>20</t>
    </r>
    <r>
      <rPr>
        <sz val="10"/>
        <rFont val="ＭＳ ゴシック"/>
        <family val="3"/>
        <charset val="128"/>
      </rPr>
      <t>＋3）</t>
    </r>
    <phoneticPr fontId="2"/>
  </si>
  <si>
    <t>・所要日数</t>
    <rPh sb="1" eb="3">
      <t>ショヨウ</t>
    </rPh>
    <rPh sb="3" eb="5">
      <t>ニッスウ</t>
    </rPh>
    <phoneticPr fontId="2"/>
  </si>
  <si>
    <r>
      <t>ａ</t>
    </r>
    <r>
      <rPr>
        <vertAlign val="subscript"/>
        <sz val="10"/>
        <rFont val="ＭＳ ゴシック"/>
        <family val="3"/>
        <charset val="128"/>
      </rPr>
      <t>2</t>
    </r>
    <r>
      <rPr>
        <sz val="10"/>
        <rFont val="ＭＳ ゴシック"/>
        <family val="3"/>
        <charset val="128"/>
      </rPr>
      <t>＝</t>
    </r>
  </si>
  <si>
    <r>
      <t>Ｗ</t>
    </r>
    <r>
      <rPr>
        <vertAlign val="subscript"/>
        <sz val="10"/>
        <rFont val="ＭＳ ゴシック"/>
        <family val="3"/>
        <charset val="128"/>
      </rPr>
      <t>20</t>
    </r>
    <r>
      <rPr>
        <sz val="10"/>
        <rFont val="ＭＳ ゴシック"/>
        <family val="3"/>
        <charset val="128"/>
      </rPr>
      <t>／Ｄ</t>
    </r>
    <phoneticPr fontId="2"/>
  </si>
  <si>
    <t>１－③　軌条設備工</t>
  </si>
  <si>
    <t>・軌条長さ</t>
    <rPh sb="1" eb="3">
      <t>キジョウ</t>
    </rPh>
    <rPh sb="3" eb="4">
      <t>ナガ</t>
    </rPh>
    <phoneticPr fontId="2"/>
  </si>
  <si>
    <t>Ｌ＝</t>
    <phoneticPr fontId="2"/>
  </si>
  <si>
    <t>（Ｌｙ：送出しヤード設備長）</t>
    <rPh sb="4" eb="6">
      <t>オクリダ</t>
    </rPh>
    <rPh sb="10" eb="12">
      <t>セツビ</t>
    </rPh>
    <rPh sb="12" eb="13">
      <t>チョウ</t>
    </rPh>
    <phoneticPr fontId="2"/>
  </si>
  <si>
    <t>ｍ</t>
    <phoneticPr fontId="2"/>
  </si>
  <si>
    <t>ｍ/日</t>
    <rPh sb="2" eb="3">
      <t>ニチ</t>
    </rPh>
    <phoneticPr fontId="2"/>
  </si>
  <si>
    <r>
      <t>ａ</t>
    </r>
    <r>
      <rPr>
        <vertAlign val="subscript"/>
        <sz val="10"/>
        <rFont val="ＭＳ ゴシック"/>
        <family val="3"/>
        <charset val="128"/>
      </rPr>
      <t>3</t>
    </r>
    <r>
      <rPr>
        <sz val="10"/>
        <rFont val="ＭＳ ゴシック"/>
        <family val="3"/>
        <charset val="128"/>
      </rPr>
      <t>＝</t>
    </r>
  </si>
  <si>
    <t>１－④　軌条敷鋼板基礎工</t>
  </si>
  <si>
    <t>・敷鋼板</t>
    <rPh sb="1" eb="2">
      <t>シ</t>
    </rPh>
    <rPh sb="2" eb="4">
      <t>コウハン</t>
    </rPh>
    <phoneticPr fontId="2"/>
  </si>
  <si>
    <t>ｍ×</t>
    <phoneticPr fontId="2"/>
  </si>
  <si>
    <t>ｍｍ</t>
    <phoneticPr fontId="2"/>
  </si>
  <si>
    <t>を使用</t>
    <rPh sb="1" eb="3">
      <t>シヨウ</t>
    </rPh>
    <phoneticPr fontId="2"/>
  </si>
  <si>
    <t>・敷鋼板の数量</t>
    <rPh sb="1" eb="2">
      <t>シ</t>
    </rPh>
    <rPh sb="2" eb="4">
      <t>コウハン</t>
    </rPh>
    <rPh sb="5" eb="7">
      <t>スウリョウ</t>
    </rPh>
    <phoneticPr fontId="2"/>
  </si>
  <si>
    <t>Ｌｙ／（鋼板長さ）</t>
    <rPh sb="4" eb="6">
      <t>コウハン</t>
    </rPh>
    <rPh sb="6" eb="7">
      <t>ナガ</t>
    </rPh>
    <phoneticPr fontId="2"/>
  </si>
  <si>
    <t>枚</t>
    <rPh sb="0" eb="1">
      <t>マイ</t>
    </rPh>
    <phoneticPr fontId="2"/>
  </si>
  <si>
    <t>∴</t>
    <phoneticPr fontId="2"/>
  </si>
  <si>
    <t>２．送出し設備工</t>
    <rPh sb="2" eb="4">
      <t>オクリダ</t>
    </rPh>
    <rPh sb="5" eb="7">
      <t>セツビ</t>
    </rPh>
    <rPh sb="7" eb="8">
      <t>コウ</t>
    </rPh>
    <phoneticPr fontId="2"/>
  </si>
  <si>
    <t>２－①　手延機と連結構</t>
    <rPh sb="4" eb="7">
      <t>テノベキ</t>
    </rPh>
    <rPh sb="8" eb="10">
      <t>レンケツ</t>
    </rPh>
    <rPh sb="10" eb="11">
      <t>コウ</t>
    </rPh>
    <phoneticPr fontId="2"/>
  </si>
  <si>
    <t>・手延機と連結構の総質量</t>
    <rPh sb="1" eb="4">
      <t>テノベキ</t>
    </rPh>
    <rPh sb="5" eb="7">
      <t>レンケツ</t>
    </rPh>
    <rPh sb="7" eb="8">
      <t>コウ</t>
    </rPh>
    <rPh sb="9" eb="10">
      <t>ソウ</t>
    </rPh>
    <rPh sb="10" eb="12">
      <t>シツリョウ</t>
    </rPh>
    <phoneticPr fontId="2"/>
  </si>
  <si>
    <t>（桁の送出し回数</t>
    <rPh sb="1" eb="2">
      <t>ケタ</t>
    </rPh>
    <rPh sb="3" eb="5">
      <t>オクリダ</t>
    </rPh>
    <rPh sb="6" eb="8">
      <t>カイスウ</t>
    </rPh>
    <phoneticPr fontId="2"/>
  </si>
  <si>
    <t>回）</t>
    <rPh sb="0" eb="1">
      <t>カイ</t>
    </rPh>
    <phoneticPr fontId="2"/>
  </si>
  <si>
    <t>ｔ</t>
    <phoneticPr fontId="2"/>
  </si>
  <si>
    <t>２－②　台車設備</t>
    <rPh sb="4" eb="6">
      <t>ダイシャ</t>
    </rPh>
    <rPh sb="6" eb="8">
      <t>セツビ</t>
    </rPh>
    <phoneticPr fontId="2"/>
  </si>
  <si>
    <t>・台車数</t>
    <rPh sb="1" eb="3">
      <t>ダイシャ</t>
    </rPh>
    <rPh sb="3" eb="4">
      <t>スウ</t>
    </rPh>
    <phoneticPr fontId="2"/>
  </si>
  <si>
    <r>
      <t>ｎ</t>
    </r>
    <r>
      <rPr>
        <vertAlign val="subscript"/>
        <sz val="10"/>
        <rFont val="ＭＳ ゴシック"/>
        <family val="3"/>
        <charset val="128"/>
      </rPr>
      <t>10</t>
    </r>
    <r>
      <rPr>
        <sz val="10"/>
        <rFont val="ＭＳ ゴシック"/>
        <family val="3"/>
        <charset val="128"/>
      </rPr>
      <t>＝</t>
    </r>
    <phoneticPr fontId="2"/>
  </si>
  <si>
    <t>台</t>
    <rPh sb="0" eb="1">
      <t>ダイ</t>
    </rPh>
    <phoneticPr fontId="2"/>
  </si>
  <si>
    <t>・台車の耐力</t>
    <rPh sb="1" eb="3">
      <t>ダイシャ</t>
    </rPh>
    <rPh sb="4" eb="6">
      <t>タイリョク</t>
    </rPh>
    <phoneticPr fontId="2"/>
  </si>
  <si>
    <t>前方台車耐力</t>
    <rPh sb="0" eb="2">
      <t>ゼンポウ</t>
    </rPh>
    <rPh sb="2" eb="4">
      <t>ダイシャ</t>
    </rPh>
    <rPh sb="4" eb="6">
      <t>タイリョク</t>
    </rPh>
    <phoneticPr fontId="2"/>
  </si>
  <si>
    <t>＞</t>
    <phoneticPr fontId="2"/>
  </si>
  <si>
    <r>
      <t>（Ｗ</t>
    </r>
    <r>
      <rPr>
        <vertAlign val="subscript"/>
        <sz val="10"/>
        <rFont val="ＭＳ ゴシック"/>
        <family val="3"/>
        <charset val="128"/>
      </rPr>
      <t>1</t>
    </r>
    <r>
      <rPr>
        <sz val="10"/>
        <rFont val="ＭＳ ゴシック"/>
        <family val="3"/>
        <charset val="128"/>
      </rPr>
      <t>：手延機の質量　Ｗ</t>
    </r>
    <r>
      <rPr>
        <vertAlign val="subscript"/>
        <sz val="10"/>
        <rFont val="ＭＳ ゴシック"/>
        <family val="3"/>
        <charset val="128"/>
      </rPr>
      <t>2</t>
    </r>
    <r>
      <rPr>
        <sz val="10"/>
        <rFont val="ＭＳ ゴシック"/>
        <family val="3"/>
        <charset val="128"/>
      </rPr>
      <t>：連結構の質量　Ｗ：橋体１支間の最大質量）</t>
    </r>
    <rPh sb="4" eb="7">
      <t>テノベキ</t>
    </rPh>
    <rPh sb="8" eb="10">
      <t>シツリョウ</t>
    </rPh>
    <rPh sb="14" eb="16">
      <t>レンケツ</t>
    </rPh>
    <rPh sb="16" eb="17">
      <t>コウ</t>
    </rPh>
    <rPh sb="18" eb="20">
      <t>シツリョウ</t>
    </rPh>
    <rPh sb="23" eb="25">
      <t>キョウタイ</t>
    </rPh>
    <rPh sb="26" eb="28">
      <t>シカン</t>
    </rPh>
    <rPh sb="29" eb="31">
      <t>サイダイ</t>
    </rPh>
    <rPh sb="31" eb="33">
      <t>シツリョウ</t>
    </rPh>
    <phoneticPr fontId="2"/>
  </si>
  <si>
    <t>ｔ　シングルゲージ重量台車</t>
    <rPh sb="9" eb="11">
      <t>ジュウリョウ</t>
    </rPh>
    <rPh sb="11" eb="13">
      <t>ダイシャ</t>
    </rPh>
    <phoneticPr fontId="2"/>
  </si>
  <si>
    <t>×２台</t>
  </si>
  <si>
    <t>後方台車耐力</t>
    <rPh sb="0" eb="2">
      <t>コウホウ</t>
    </rPh>
    <rPh sb="2" eb="4">
      <t>ダイシャ</t>
    </rPh>
    <rPh sb="4" eb="6">
      <t>タイリョク</t>
    </rPh>
    <phoneticPr fontId="2"/>
  </si>
  <si>
    <t>＞</t>
    <phoneticPr fontId="2"/>
  </si>
  <si>
    <t>Ｗ／2×1.2</t>
    <phoneticPr fontId="2"/>
  </si>
  <si>
    <r>
      <t>ｎ</t>
    </r>
    <r>
      <rPr>
        <vertAlign val="subscript"/>
        <sz val="10"/>
        <rFont val="ＭＳ ゴシック"/>
        <family val="3"/>
        <charset val="128"/>
      </rPr>
      <t>10</t>
    </r>
    <r>
      <rPr>
        <sz val="10"/>
        <rFont val="ＭＳ ゴシック"/>
        <family val="3"/>
        <charset val="128"/>
      </rPr>
      <t>／（0.21ｎ</t>
    </r>
    <r>
      <rPr>
        <vertAlign val="subscript"/>
        <sz val="10"/>
        <rFont val="ＭＳ ゴシック"/>
        <family val="3"/>
        <charset val="128"/>
      </rPr>
      <t>10</t>
    </r>
    <r>
      <rPr>
        <sz val="10"/>
        <rFont val="ＭＳ ゴシック"/>
        <family val="3"/>
        <charset val="128"/>
      </rPr>
      <t>＋2）</t>
    </r>
    <phoneticPr fontId="2"/>
  </si>
  <si>
    <r>
      <t>ｂ</t>
    </r>
    <r>
      <rPr>
        <vertAlign val="subscript"/>
        <sz val="10"/>
        <rFont val="ＭＳ ゴシック"/>
        <family val="3"/>
        <charset val="128"/>
      </rPr>
      <t>2</t>
    </r>
    <r>
      <rPr>
        <sz val="10"/>
        <rFont val="ＭＳ ゴシック"/>
        <family val="3"/>
        <charset val="128"/>
      </rPr>
      <t>＝</t>
    </r>
    <phoneticPr fontId="2"/>
  </si>
  <si>
    <r>
      <t>ｎ</t>
    </r>
    <r>
      <rPr>
        <vertAlign val="subscript"/>
        <sz val="10"/>
        <rFont val="ＭＳ ゴシック"/>
        <family val="3"/>
        <charset val="128"/>
      </rPr>
      <t>10</t>
    </r>
    <r>
      <rPr>
        <sz val="10"/>
        <rFont val="ＭＳ ゴシック"/>
        <family val="3"/>
        <charset val="128"/>
      </rPr>
      <t>／Ｄ</t>
    </r>
    <phoneticPr fontId="2"/>
  </si>
  <si>
    <t>２－③　送出し装置設備</t>
    <rPh sb="4" eb="6">
      <t>オクリダ</t>
    </rPh>
    <rPh sb="7" eb="9">
      <t>ソウチ</t>
    </rPh>
    <rPh sb="9" eb="11">
      <t>セツビ</t>
    </rPh>
    <phoneticPr fontId="2"/>
  </si>
  <si>
    <t>※送出し設備の選定</t>
    <rPh sb="1" eb="3">
      <t>オクリダ</t>
    </rPh>
    <rPh sb="4" eb="6">
      <t>セツビ</t>
    </rPh>
    <rPh sb="7" eb="9">
      <t>センテイ</t>
    </rPh>
    <phoneticPr fontId="2"/>
  </si>
  <si>
    <t>・送出し速度</t>
    <rPh sb="1" eb="3">
      <t>オクリダ</t>
    </rPh>
    <rPh sb="4" eb="6">
      <t>ソクド</t>
    </rPh>
    <phoneticPr fontId="2"/>
  </si>
  <si>
    <t>・送出し設備の耐力</t>
    <rPh sb="1" eb="3">
      <t>オクリダ</t>
    </rPh>
    <rPh sb="4" eb="6">
      <t>セツビ</t>
    </rPh>
    <rPh sb="7" eb="9">
      <t>タイリョク</t>
    </rPh>
    <phoneticPr fontId="2"/>
  </si>
  <si>
    <t>耐力</t>
    <rPh sb="0" eb="2">
      <t>タイリョク</t>
    </rPh>
    <phoneticPr fontId="2"/>
  </si>
  <si>
    <t>・送出しエンドレスローラ駆動装置</t>
    <rPh sb="1" eb="3">
      <t>オクリダ</t>
    </rPh>
    <rPh sb="12" eb="14">
      <t>クドウ</t>
    </rPh>
    <rPh sb="14" eb="16">
      <t>ソウチ</t>
    </rPh>
    <phoneticPr fontId="2"/>
  </si>
  <si>
    <t>Ｐ＝</t>
    <phoneticPr fontId="2"/>
  </si>
  <si>
    <t>全反力×ころがり摩擦係数×安全率</t>
    <rPh sb="0" eb="1">
      <t>ゼン</t>
    </rPh>
    <rPh sb="1" eb="2">
      <t>ハン</t>
    </rPh>
    <rPh sb="2" eb="3">
      <t>リョク</t>
    </rPh>
    <rPh sb="8" eb="12">
      <t>マサツケイスウ</t>
    </rPh>
    <rPh sb="13" eb="16">
      <t>アンゼンリツ</t>
    </rPh>
    <phoneticPr fontId="2"/>
  </si>
  <si>
    <t>ｔ駆動装置</t>
    <rPh sb="1" eb="3">
      <t>クドウ</t>
    </rPh>
    <rPh sb="3" eb="5">
      <t>ソウチ</t>
    </rPh>
    <phoneticPr fontId="2"/>
  </si>
  <si>
    <t>・装置組数</t>
    <rPh sb="1" eb="3">
      <t>ソウチ</t>
    </rPh>
    <rPh sb="3" eb="4">
      <t>グミ</t>
    </rPh>
    <rPh sb="4" eb="5">
      <t>カズ</t>
    </rPh>
    <phoneticPr fontId="2"/>
  </si>
  <si>
    <r>
      <t>ｎ</t>
    </r>
    <r>
      <rPr>
        <vertAlign val="subscript"/>
        <sz val="10"/>
        <rFont val="ＭＳ ゴシック"/>
        <family val="3"/>
        <charset val="128"/>
      </rPr>
      <t>20</t>
    </r>
    <r>
      <rPr>
        <sz val="10"/>
        <rFont val="ＭＳ ゴシック"/>
        <family val="3"/>
        <charset val="128"/>
      </rPr>
      <t>＝</t>
    </r>
    <phoneticPr fontId="2"/>
  </si>
  <si>
    <t>（径間数＋1）×2</t>
    <rPh sb="1" eb="3">
      <t>ケイカン</t>
    </rPh>
    <rPh sb="3" eb="4">
      <t>スウ</t>
    </rPh>
    <phoneticPr fontId="2"/>
  </si>
  <si>
    <t>組</t>
    <rPh sb="0" eb="1">
      <t>クミ</t>
    </rPh>
    <phoneticPr fontId="2"/>
  </si>
  <si>
    <t>送出し装置</t>
    <rPh sb="0" eb="2">
      <t>オクリダ</t>
    </rPh>
    <rPh sb="3" eb="5">
      <t>ソウチ</t>
    </rPh>
    <phoneticPr fontId="2"/>
  </si>
  <si>
    <t>径間数＋1</t>
    <rPh sb="0" eb="2">
      <t>ケイカン</t>
    </rPh>
    <rPh sb="2" eb="3">
      <t>スウ</t>
    </rPh>
    <phoneticPr fontId="2"/>
  </si>
  <si>
    <t>エンドレスローラ送出し装置</t>
    <rPh sb="8" eb="10">
      <t>オクリダ</t>
    </rPh>
    <rPh sb="11" eb="13">
      <t>ソウチ</t>
    </rPh>
    <phoneticPr fontId="2"/>
  </si>
  <si>
    <r>
      <t>ｎ</t>
    </r>
    <r>
      <rPr>
        <vertAlign val="subscript"/>
        <sz val="10"/>
        <rFont val="ＭＳ ゴシック"/>
        <family val="3"/>
        <charset val="128"/>
      </rPr>
      <t>40</t>
    </r>
    <r>
      <rPr>
        <sz val="10"/>
        <rFont val="ＭＳ ゴシック"/>
        <family val="3"/>
        <charset val="128"/>
      </rPr>
      <t>＝</t>
    </r>
    <phoneticPr fontId="2"/>
  </si>
  <si>
    <t>＝</t>
    <phoneticPr fontId="2"/>
  </si>
  <si>
    <t>→</t>
  </si>
  <si>
    <t>うちラフテレーンクレーン使用</t>
  </si>
  <si>
    <t>（両端橋脚）</t>
  </si>
  <si>
    <t>うちケーブルクレーン使用</t>
  </si>
  <si>
    <t>（中間橋脚）</t>
  </si>
  <si>
    <r>
      <t>ｂ</t>
    </r>
    <r>
      <rPr>
        <vertAlign val="subscript"/>
        <sz val="10"/>
        <rFont val="ＭＳ ゴシック"/>
        <family val="3"/>
        <charset val="128"/>
      </rPr>
      <t>3</t>
    </r>
    <r>
      <rPr>
        <sz val="10"/>
        <rFont val="ＭＳ ゴシック"/>
        <family val="3"/>
        <charset val="128"/>
      </rPr>
      <t>＝</t>
    </r>
    <phoneticPr fontId="2"/>
  </si>
  <si>
    <r>
      <t>（0.3ｎ</t>
    </r>
    <r>
      <rPr>
        <vertAlign val="subscript"/>
        <sz val="10"/>
        <rFont val="ＭＳ ゴシック"/>
        <family val="3"/>
        <charset val="128"/>
      </rPr>
      <t>4</t>
    </r>
    <r>
      <rPr>
        <sz val="10"/>
        <rFont val="ＭＳ ゴシック"/>
        <family val="3"/>
        <charset val="128"/>
      </rPr>
      <t>0＋0.4</t>
    </r>
    <r>
      <rPr>
        <vertAlign val="subscript"/>
        <sz val="10"/>
        <rFont val="ＭＳ ゴシック"/>
        <family val="3"/>
        <charset val="128"/>
      </rPr>
      <t>ｎ</t>
    </r>
    <r>
      <rPr>
        <sz val="10"/>
        <rFont val="ＭＳ ゴシック"/>
        <family val="3"/>
        <charset val="128"/>
      </rPr>
      <t>3）＋3</t>
    </r>
  </si>
  <si>
    <t>）＋</t>
  </si>
  <si>
    <t>３．降下設備工</t>
  </si>
  <si>
    <t>・横取り設備長</t>
    <rPh sb="1" eb="3">
      <t>ヨコド</t>
    </rPh>
    <rPh sb="4" eb="6">
      <t>セツビ</t>
    </rPh>
    <rPh sb="6" eb="7">
      <t>チョウ</t>
    </rPh>
    <phoneticPr fontId="2"/>
  </si>
  <si>
    <t>（ｌ：横取り長さ　Ｂ：腹板間隔）</t>
    <rPh sb="3" eb="5">
      <t>ヨコド</t>
    </rPh>
    <rPh sb="6" eb="7">
      <t>ナガ</t>
    </rPh>
    <rPh sb="11" eb="13">
      <t>フクバン</t>
    </rPh>
    <rPh sb="13" eb="15">
      <t>カンカク</t>
    </rPh>
    <phoneticPr fontId="2"/>
  </si>
  <si>
    <t>→</t>
    <phoneticPr fontId="2"/>
  </si>
  <si>
    <t>・支点反力</t>
    <rPh sb="1" eb="3">
      <t>シテン</t>
    </rPh>
    <rPh sb="3" eb="4">
      <t>ハン</t>
    </rPh>
    <rPh sb="4" eb="5">
      <t>リョク</t>
    </rPh>
    <phoneticPr fontId="2"/>
  </si>
  <si>
    <t>送出し質量</t>
    <rPh sb="0" eb="2">
      <t>オクリダ</t>
    </rPh>
    <rPh sb="3" eb="5">
      <t>シツリョウ</t>
    </rPh>
    <phoneticPr fontId="2"/>
  </si>
  <si>
    <t>ｔ/回</t>
    <rPh sb="2" eb="3">
      <t>カイ</t>
    </rPh>
    <phoneticPr fontId="2"/>
  </si>
  <si>
    <t>横取り回数</t>
    <rPh sb="0" eb="2">
      <t>ヨコド</t>
    </rPh>
    <rPh sb="3" eb="5">
      <t>カイスウ</t>
    </rPh>
    <phoneticPr fontId="2"/>
  </si>
  <si>
    <t>横取り設備質量：「橋梁架設工事の積算 令和2年度版」表2-3-89より</t>
    <rPh sb="0" eb="2">
      <t>ヨコド</t>
    </rPh>
    <rPh sb="3" eb="5">
      <t>セツビ</t>
    </rPh>
    <rPh sb="5" eb="7">
      <t>シツリョウ</t>
    </rPh>
    <rPh sb="9" eb="11">
      <t>キョウリョウ</t>
    </rPh>
    <rPh sb="11" eb="13">
      <t>カセツ</t>
    </rPh>
    <rPh sb="13" eb="15">
      <t>コウジ</t>
    </rPh>
    <rPh sb="16" eb="18">
      <t>セキサン</t>
    </rPh>
    <rPh sb="19" eb="21">
      <t>レイワ</t>
    </rPh>
    <rPh sb="24" eb="25">
      <t>バン</t>
    </rPh>
    <rPh sb="26" eb="27">
      <t>ヒョウ</t>
    </rPh>
    <phoneticPr fontId="2"/>
  </si>
  <si>
    <t>所要日数：</t>
    <rPh sb="0" eb="2">
      <t>ショヨウ</t>
    </rPh>
    <rPh sb="2" eb="4">
      <t>ニッスウ</t>
    </rPh>
    <phoneticPr fontId="2"/>
  </si>
  <si>
    <t>ラフテレーンクレーン</t>
    <phoneticPr fontId="2"/>
  </si>
  <si>
    <t>支点番号</t>
    <rPh sb="0" eb="2">
      <t>シテン</t>
    </rPh>
    <rPh sb="2" eb="4">
      <t>バンゴウ</t>
    </rPh>
    <phoneticPr fontId="2"/>
  </si>
  <si>
    <t>反力比率</t>
    <rPh sb="0" eb="2">
      <t>ハンリョク</t>
    </rPh>
    <rPh sb="2" eb="4">
      <t>ヒリツ</t>
    </rPh>
    <phoneticPr fontId="2"/>
  </si>
  <si>
    <t>反力（ｔ）</t>
    <rPh sb="0" eb="1">
      <t>ハン</t>
    </rPh>
    <rPh sb="1" eb="2">
      <t>リョク</t>
    </rPh>
    <phoneticPr fontId="2"/>
  </si>
  <si>
    <t>②</t>
    <phoneticPr fontId="2"/>
  </si>
  <si>
    <t>③</t>
    <phoneticPr fontId="2"/>
  </si>
  <si>
    <t>⑥</t>
    <phoneticPr fontId="2"/>
  </si>
  <si>
    <t>⑨</t>
    <phoneticPr fontId="2"/>
  </si>
  <si>
    <t>⑩</t>
    <phoneticPr fontId="2"/>
  </si>
  <si>
    <t>横取り設備質量のうち</t>
    <rPh sb="0" eb="2">
      <t>ヨコド</t>
    </rPh>
    <rPh sb="3" eb="5">
      <t>セツビ</t>
    </rPh>
    <rPh sb="5" eb="7">
      <t>シツリョウ</t>
    </rPh>
    <phoneticPr fontId="2"/>
  </si>
  <si>
    <t>ラフテレーンクレーン使用</t>
    <rPh sb="10" eb="12">
      <t>シヨウ</t>
    </rPh>
    <phoneticPr fontId="2"/>
  </si>
  <si>
    <t>ケーブルクレーン使用</t>
    <rPh sb="8" eb="10">
      <t>シヨウ</t>
    </rPh>
    <phoneticPr fontId="2"/>
  </si>
  <si>
    <t>ｔ</t>
    <phoneticPr fontId="2"/>
  </si>
  <si>
    <t>・ラフテレーンクレーンの使用日数</t>
    <rPh sb="12" eb="14">
      <t>シヨウ</t>
    </rPh>
    <rPh sb="14" eb="16">
      <t>ニッスウ</t>
    </rPh>
    <phoneticPr fontId="2"/>
  </si>
  <si>
    <t>３－①　降下設備工</t>
  </si>
  <si>
    <t>・降下回数</t>
    <rPh sb="1" eb="3">
      <t>コウカ</t>
    </rPh>
    <rPh sb="3" eb="5">
      <t>カイスウ</t>
    </rPh>
    <phoneticPr fontId="2"/>
  </si>
  <si>
    <t>・１橋台・橋脚当りの降下設備質量</t>
    <rPh sb="2" eb="4">
      <t>キョウダイ</t>
    </rPh>
    <rPh sb="5" eb="7">
      <t>キョウキャク</t>
    </rPh>
    <rPh sb="7" eb="8">
      <t>アタ</t>
    </rPh>
    <rPh sb="10" eb="12">
      <t>コウカ</t>
    </rPh>
    <rPh sb="12" eb="14">
      <t>セツビ</t>
    </rPh>
    <rPh sb="14" eb="16">
      <t>シツリョウ</t>
    </rPh>
    <phoneticPr fontId="2"/>
  </si>
  <si>
    <t>降下量</t>
    <rPh sb="0" eb="2">
      <t>コウカ</t>
    </rPh>
    <rPh sb="2" eb="3">
      <t>リョウ</t>
    </rPh>
    <phoneticPr fontId="2"/>
  </si>
  <si>
    <t>「橋梁架設工事の積算 令和2年度版」表2-3-93より</t>
    <rPh sb="1" eb="3">
      <t>キョウリョウ</t>
    </rPh>
    <rPh sb="3" eb="5">
      <t>カセツ</t>
    </rPh>
    <rPh sb="5" eb="7">
      <t>コウジ</t>
    </rPh>
    <rPh sb="8" eb="10">
      <t>セキサン</t>
    </rPh>
    <rPh sb="11" eb="13">
      <t>レイワ</t>
    </rPh>
    <rPh sb="16" eb="17">
      <t>バン</t>
    </rPh>
    <rPh sb="18" eb="19">
      <t>ヒョウ</t>
    </rPh>
    <phoneticPr fontId="2"/>
  </si>
  <si>
    <t>・全橋脚分の降下設備質量</t>
    <rPh sb="1" eb="2">
      <t>ゼン</t>
    </rPh>
    <rPh sb="2" eb="3">
      <t>キョウ</t>
    </rPh>
    <rPh sb="3" eb="4">
      <t>キャク</t>
    </rPh>
    <rPh sb="4" eb="5">
      <t>ブン</t>
    </rPh>
    <rPh sb="6" eb="8">
      <t>コウカ</t>
    </rPh>
    <rPh sb="8" eb="10">
      <t>セツビ</t>
    </rPh>
    <rPh sb="10" eb="12">
      <t>シツリョウ</t>
    </rPh>
    <phoneticPr fontId="2"/>
  </si>
  <si>
    <t>ｔ/橋脚</t>
    <rPh sb="2" eb="4">
      <t>キョウキャク</t>
    </rPh>
    <phoneticPr fontId="2"/>
  </si>
  <si>
    <t>橋脚</t>
    <rPh sb="0" eb="2">
      <t>キョウキャク</t>
    </rPh>
    <phoneticPr fontId="2"/>
  </si>
  <si>
    <t>ｔ</t>
  </si>
  <si>
    <t>α：0.360（ラフテレーンクレーン）、0.432（ケーブルクレーン）</t>
    <phoneticPr fontId="2"/>
  </si>
  <si>
    <t>／(</t>
    <phoneticPr fontId="2"/>
  </si>
  <si>
    <t>＋</t>
    <phoneticPr fontId="2"/>
  </si>
  <si>
    <t>）</t>
  </si>
  <si>
    <r>
      <t>ｃ</t>
    </r>
    <r>
      <rPr>
        <vertAlign val="subscript"/>
        <sz val="10"/>
        <rFont val="ＭＳ ゴシック"/>
        <family val="3"/>
        <charset val="128"/>
      </rPr>
      <t>1</t>
    </r>
    <r>
      <rPr>
        <sz val="10"/>
        <rFont val="ＭＳ ゴシック"/>
        <family val="3"/>
        <charset val="128"/>
      </rPr>
      <t>＝</t>
    </r>
  </si>
  <si>
    <r>
      <t>Ｗ</t>
    </r>
    <r>
      <rPr>
        <vertAlign val="subscript"/>
        <sz val="10"/>
        <rFont val="ＭＳ ゴシック"/>
        <family val="3"/>
        <charset val="128"/>
      </rPr>
      <t>40</t>
    </r>
    <r>
      <rPr>
        <sz val="10"/>
        <rFont val="ＭＳ ゴシック"/>
        <family val="3"/>
        <charset val="128"/>
      </rPr>
      <t>／Ｄ</t>
    </r>
    <phoneticPr fontId="2"/>
  </si>
  <si>
    <t>×（</t>
    <phoneticPr fontId="2"/>
  </si>
  <si>
    <t>３－②　降下設備複合損料</t>
  </si>
  <si>
    <t>・横取り設備複合損料（「橋梁架設工事の積算 令和2年度版」表2-3-95より）</t>
    <rPh sb="1" eb="3">
      <t>ヨコド</t>
    </rPh>
    <rPh sb="4" eb="6">
      <t>セツビ</t>
    </rPh>
    <rPh sb="6" eb="8">
      <t>フクゴウ</t>
    </rPh>
    <rPh sb="8" eb="10">
      <t>ソンリョウ</t>
    </rPh>
    <rPh sb="12" eb="14">
      <t>キョウリョウ</t>
    </rPh>
    <rPh sb="14" eb="16">
      <t>カセツ</t>
    </rPh>
    <rPh sb="16" eb="18">
      <t>コウジ</t>
    </rPh>
    <rPh sb="19" eb="21">
      <t>セキサン</t>
    </rPh>
    <rPh sb="22" eb="24">
      <t>レイワ</t>
    </rPh>
    <rPh sb="27" eb="28">
      <t>バン</t>
    </rPh>
    <rPh sb="29" eb="30">
      <t>ヒョウ</t>
    </rPh>
    <phoneticPr fontId="2"/>
  </si>
  <si>
    <t>横取設備長（ｍ）</t>
    <rPh sb="0" eb="2">
      <t>ヨコド</t>
    </rPh>
    <rPh sb="2" eb="4">
      <t>セツビ</t>
    </rPh>
    <rPh sb="4" eb="5">
      <t>ナガ</t>
    </rPh>
    <phoneticPr fontId="2"/>
  </si>
  <si>
    <t>横取設備損料（円/日）</t>
    <rPh sb="0" eb="2">
      <t>ヨコド</t>
    </rPh>
    <rPh sb="2" eb="4">
      <t>セツビ</t>
    </rPh>
    <rPh sb="4" eb="6">
      <t>ソンリョウ</t>
    </rPh>
    <rPh sb="7" eb="8">
      <t>エン</t>
    </rPh>
    <rPh sb="9" eb="10">
      <t>ニチ</t>
    </rPh>
    <phoneticPr fontId="2"/>
  </si>
  <si>
    <t>①</t>
    <phoneticPr fontId="2"/>
  </si>
  <si>
    <t>②</t>
    <phoneticPr fontId="2"/>
  </si>
  <si>
    <t>④</t>
    <phoneticPr fontId="2"/>
  </si>
  <si>
    <t>⑤</t>
    <phoneticPr fontId="2"/>
  </si>
  <si>
    <t>⑥</t>
    <phoneticPr fontId="2"/>
  </si>
  <si>
    <t>⑧</t>
    <phoneticPr fontId="2"/>
  </si>
  <si>
    <t>⑨</t>
    <phoneticPr fontId="2"/>
  </si>
  <si>
    <t>⑩</t>
    <phoneticPr fontId="2"/>
  </si>
  <si>
    <t>・降下設備複合損料（「橋梁架設工事の積算 令和2年度版」表2-3-96より）</t>
    <rPh sb="1" eb="3">
      <t>コウカ</t>
    </rPh>
    <rPh sb="3" eb="5">
      <t>セツビ</t>
    </rPh>
    <rPh sb="5" eb="7">
      <t>フクゴウ</t>
    </rPh>
    <rPh sb="7" eb="9">
      <t>ソンリョウ</t>
    </rPh>
    <phoneticPr fontId="2"/>
  </si>
  <si>
    <t>降下量（ｍ）</t>
    <rPh sb="0" eb="2">
      <t>コウカ</t>
    </rPh>
    <rPh sb="2" eb="3">
      <t>リョウ</t>
    </rPh>
    <phoneticPr fontId="2"/>
  </si>
  <si>
    <t>降下設備損料（円/日）</t>
    <rPh sb="0" eb="2">
      <t>コウカ</t>
    </rPh>
    <rPh sb="2" eb="4">
      <t>セツビ</t>
    </rPh>
    <rPh sb="4" eb="6">
      <t>ソンリョウ</t>
    </rPh>
    <rPh sb="7" eb="8">
      <t>エン</t>
    </rPh>
    <rPh sb="9" eb="10">
      <t>ニチ</t>
    </rPh>
    <phoneticPr fontId="2"/>
  </si>
  <si>
    <t>①</t>
    <phoneticPr fontId="2"/>
  </si>
  <si>
    <t>⑤</t>
    <phoneticPr fontId="2"/>
  </si>
  <si>
    <t>⑦</t>
    <phoneticPr fontId="2"/>
  </si>
  <si>
    <t>⑧</t>
    <phoneticPr fontId="2"/>
  </si>
  <si>
    <t>⑪</t>
    <phoneticPr fontId="2"/>
  </si>
  <si>
    <t>４．ケーブルクレーン設備工</t>
  </si>
  <si>
    <t>・鉄塔支間</t>
    <rPh sb="1" eb="3">
      <t>テットウ</t>
    </rPh>
    <rPh sb="3" eb="5">
      <t>シカン</t>
    </rPh>
    <phoneticPr fontId="2"/>
  </si>
  <si>
    <t>・鉄塔高さ</t>
    <rPh sb="1" eb="3">
      <t>テットウ</t>
    </rPh>
    <rPh sb="3" eb="4">
      <t>タカ</t>
    </rPh>
    <phoneticPr fontId="2"/>
  </si>
  <si>
    <t>（主桁高</t>
    <rPh sb="1" eb="2">
      <t>シュ</t>
    </rPh>
    <rPh sb="2" eb="3">
      <t>ケタ</t>
    </rPh>
    <rPh sb="3" eb="4">
      <t>タカ</t>
    </rPh>
    <phoneticPr fontId="2"/>
  </si>
  <si>
    <t>・控索角度</t>
    <rPh sb="1" eb="2">
      <t>コウ</t>
    </rPh>
    <rPh sb="2" eb="3">
      <t>サク</t>
    </rPh>
    <rPh sb="3" eb="5">
      <t>カクド</t>
    </rPh>
    <phoneticPr fontId="2"/>
  </si>
  <si>
    <t>°以下</t>
    <rPh sb="1" eb="3">
      <t>イカ</t>
    </rPh>
    <phoneticPr fontId="2"/>
  </si>
  <si>
    <t>・吊上げ能力</t>
    <rPh sb="1" eb="3">
      <t>ツリア</t>
    </rPh>
    <rPh sb="4" eb="6">
      <t>ノウリョク</t>
    </rPh>
    <phoneticPr fontId="2"/>
  </si>
  <si>
    <t>鉄塔損料</t>
    <rPh sb="0" eb="2">
      <t>テットウ</t>
    </rPh>
    <rPh sb="2" eb="4">
      <t>ソンリョウ</t>
    </rPh>
    <phoneticPr fontId="2"/>
  </si>
  <si>
    <t>円/日</t>
    <rPh sb="0" eb="1">
      <t>エン</t>
    </rPh>
    <rPh sb="2" eb="3">
      <t>ニチ</t>
    </rPh>
    <phoneticPr fontId="2"/>
  </si>
  <si>
    <t>ｹｰﾌﾞﾙ設備損料</t>
    <rPh sb="5" eb="7">
      <t>セツビ</t>
    </rPh>
    <rPh sb="7" eb="9">
      <t>ソンリョウ</t>
    </rPh>
    <phoneticPr fontId="2"/>
  </si>
  <si>
    <t>・鉄塔質量</t>
    <rPh sb="1" eb="3">
      <t>テットウ</t>
    </rPh>
    <rPh sb="3" eb="5">
      <t>シツリョウ</t>
    </rPh>
    <phoneticPr fontId="2"/>
  </si>
  <si>
    <t>（「橋梁架設工事の積算 令和2年度版」表2-3-16）</t>
  </si>
  <si>
    <t>＋（</t>
  </si>
  <si>
    <t>５．溶接用架台設備工</t>
  </si>
  <si>
    <t>・初回送出し継手数</t>
    <rPh sb="1" eb="3">
      <t>ショカイ</t>
    </rPh>
    <rPh sb="3" eb="5">
      <t>オクリダ</t>
    </rPh>
    <rPh sb="6" eb="7">
      <t>ツギ</t>
    </rPh>
    <rPh sb="7" eb="8">
      <t>テ</t>
    </rPh>
    <rPh sb="8" eb="9">
      <t>スウ</t>
    </rPh>
    <phoneticPr fontId="2"/>
  </si>
  <si>
    <t>盛替え継手数</t>
    <rPh sb="0" eb="1">
      <t>モリ</t>
    </rPh>
    <rPh sb="1" eb="2">
      <t>カ</t>
    </rPh>
    <rPh sb="3" eb="4">
      <t>ツギ</t>
    </rPh>
    <rPh sb="4" eb="5">
      <t>テ</t>
    </rPh>
    <rPh sb="5" eb="6">
      <t>スウ</t>
    </rPh>
    <phoneticPr fontId="2"/>
  </si>
  <si>
    <t>・地組溶接用架台１セット質量</t>
    <rPh sb="1" eb="2">
      <t>ジ</t>
    </rPh>
    <rPh sb="2" eb="3">
      <t>グ</t>
    </rPh>
    <rPh sb="3" eb="5">
      <t>ヨウセツ</t>
    </rPh>
    <rPh sb="5" eb="6">
      <t>ヨウ</t>
    </rPh>
    <rPh sb="6" eb="8">
      <t>カダイ</t>
    </rPh>
    <rPh sb="12" eb="14">
      <t>シツリョウ</t>
    </rPh>
    <phoneticPr fontId="2"/>
  </si>
  <si>
    <t>（Ｎ：地組桁１本当たりの現場溶接継手数＝１）</t>
    <rPh sb="3" eb="4">
      <t>ジ</t>
    </rPh>
    <rPh sb="4" eb="5">
      <t>グ</t>
    </rPh>
    <rPh sb="5" eb="6">
      <t>ケタ</t>
    </rPh>
    <rPh sb="7" eb="8">
      <t>ホン</t>
    </rPh>
    <rPh sb="8" eb="9">
      <t>ア</t>
    </rPh>
    <rPh sb="12" eb="14">
      <t>ゲンバ</t>
    </rPh>
    <rPh sb="14" eb="16">
      <t>ヨウセツ</t>
    </rPh>
    <rPh sb="16" eb="17">
      <t>ツギ</t>
    </rPh>
    <rPh sb="17" eb="18">
      <t>テ</t>
    </rPh>
    <rPh sb="18" eb="19">
      <t>スウ</t>
    </rPh>
    <phoneticPr fontId="2"/>
  </si>
  <si>
    <t>搬入質量</t>
    <rPh sb="0" eb="2">
      <t>ハンニュウ</t>
    </rPh>
    <rPh sb="2" eb="4">
      <t>シツリョウ</t>
    </rPh>
    <phoneticPr fontId="2"/>
  </si>
  <si>
    <t>盛替質量</t>
    <rPh sb="0" eb="1">
      <t>モリ</t>
    </rPh>
    <rPh sb="1" eb="2">
      <t>カ</t>
    </rPh>
    <rPh sb="2" eb="4">
      <t>シツリョウ</t>
    </rPh>
    <phoneticPr fontId="2"/>
  </si>
  <si>
    <r>
      <t>Ｔ</t>
    </r>
    <r>
      <rPr>
        <vertAlign val="subscript"/>
        <sz val="10"/>
        <rFont val="ＭＳ ゴシック"/>
        <family val="3"/>
        <charset val="128"/>
      </rPr>
      <t>2</t>
    </r>
    <r>
      <rPr>
        <sz val="10"/>
        <rFont val="ＭＳ ゴシック"/>
        <family val="3"/>
        <charset val="128"/>
      </rPr>
      <t>＝</t>
    </r>
    <phoneticPr fontId="2"/>
  </si>
  <si>
    <t>・設置撤去の日当たり施工量</t>
    <rPh sb="1" eb="3">
      <t>セッチ</t>
    </rPh>
    <rPh sb="3" eb="5">
      <t>テッキョ</t>
    </rPh>
    <rPh sb="6" eb="8">
      <t>ヒア</t>
    </rPh>
    <rPh sb="10" eb="12">
      <t>セコウ</t>
    </rPh>
    <rPh sb="12" eb="13">
      <t>リョウ</t>
    </rPh>
    <phoneticPr fontId="2"/>
  </si>
  <si>
    <r>
      <t>Ｄt</t>
    </r>
    <r>
      <rPr>
        <vertAlign val="subscript"/>
        <sz val="10"/>
        <rFont val="ＭＳ ゴシック"/>
        <family val="3"/>
        <charset val="128"/>
      </rPr>
      <t>1</t>
    </r>
    <r>
      <rPr>
        <sz val="10"/>
        <rFont val="ＭＳ ゴシック"/>
        <family val="3"/>
        <charset val="128"/>
      </rPr>
      <t>＝</t>
    </r>
    <phoneticPr fontId="2"/>
  </si>
  <si>
    <r>
      <t>Ｔ</t>
    </r>
    <r>
      <rPr>
        <vertAlign val="subscript"/>
        <sz val="10"/>
        <rFont val="ＭＳ ゴシック"/>
        <family val="3"/>
        <charset val="128"/>
      </rPr>
      <t>1</t>
    </r>
    <r>
      <rPr>
        <sz val="10"/>
        <rFont val="ＭＳ ゴシック"/>
        <family val="3"/>
        <charset val="128"/>
      </rPr>
      <t>／（0.13×Ｔ</t>
    </r>
    <r>
      <rPr>
        <vertAlign val="subscript"/>
        <sz val="10"/>
        <rFont val="ＭＳ ゴシック"/>
        <family val="3"/>
        <charset val="128"/>
      </rPr>
      <t>1</t>
    </r>
    <r>
      <rPr>
        <sz val="10"/>
        <rFont val="ＭＳ ゴシック"/>
        <family val="3"/>
        <charset val="128"/>
      </rPr>
      <t>＋1.6）</t>
    </r>
    <phoneticPr fontId="2"/>
  </si>
  <si>
    <t>・設置撤去の所要日数</t>
    <rPh sb="1" eb="3">
      <t>セッチ</t>
    </rPh>
    <rPh sb="3" eb="5">
      <t>テッキョ</t>
    </rPh>
    <rPh sb="6" eb="8">
      <t>ショヨウ</t>
    </rPh>
    <rPh sb="8" eb="10">
      <t>ニッスウ</t>
    </rPh>
    <phoneticPr fontId="2"/>
  </si>
  <si>
    <r>
      <t>Ｅ</t>
    </r>
    <r>
      <rPr>
        <vertAlign val="subscript"/>
        <sz val="10"/>
        <rFont val="ＭＳ ゴシック"/>
        <family val="3"/>
        <charset val="128"/>
      </rPr>
      <t>1</t>
    </r>
    <r>
      <rPr>
        <sz val="10"/>
        <rFont val="ＭＳ ゴシック"/>
        <family val="3"/>
        <charset val="128"/>
      </rPr>
      <t>＝</t>
    </r>
  </si>
  <si>
    <t>・盛替の日当たり施工量</t>
    <rPh sb="1" eb="2">
      <t>モリ</t>
    </rPh>
    <rPh sb="2" eb="3">
      <t>カ</t>
    </rPh>
    <rPh sb="4" eb="6">
      <t>ヒア</t>
    </rPh>
    <rPh sb="8" eb="10">
      <t>セコウ</t>
    </rPh>
    <rPh sb="10" eb="11">
      <t>リョウ</t>
    </rPh>
    <phoneticPr fontId="2"/>
  </si>
  <si>
    <r>
      <t>Ｄt</t>
    </r>
    <r>
      <rPr>
        <vertAlign val="subscript"/>
        <sz val="10"/>
        <rFont val="ＭＳ ゴシック"/>
        <family val="3"/>
        <charset val="128"/>
      </rPr>
      <t>2</t>
    </r>
    <r>
      <rPr>
        <sz val="10"/>
        <rFont val="ＭＳ ゴシック"/>
        <family val="3"/>
        <charset val="128"/>
      </rPr>
      <t>＝</t>
    </r>
    <phoneticPr fontId="2"/>
  </si>
  <si>
    <t>・盛替の所要日数</t>
    <rPh sb="1" eb="2">
      <t>モリ</t>
    </rPh>
    <rPh sb="2" eb="3">
      <t>カ</t>
    </rPh>
    <rPh sb="4" eb="6">
      <t>ショヨウ</t>
    </rPh>
    <rPh sb="6" eb="8">
      <t>ニッスウ</t>
    </rPh>
    <phoneticPr fontId="2"/>
  </si>
  <si>
    <r>
      <t>Ｅ</t>
    </r>
    <r>
      <rPr>
        <vertAlign val="subscript"/>
        <sz val="10"/>
        <rFont val="ＭＳ ゴシック"/>
        <family val="3"/>
        <charset val="128"/>
      </rPr>
      <t>2</t>
    </r>
    <r>
      <rPr>
        <sz val="10"/>
        <rFont val="ＭＳ ゴシック"/>
        <family val="3"/>
        <charset val="128"/>
      </rPr>
      <t>＝</t>
    </r>
  </si>
  <si>
    <r>
      <t>Ｅ</t>
    </r>
    <r>
      <rPr>
        <vertAlign val="subscript"/>
        <sz val="10"/>
        <rFont val="ＭＳ ゴシック"/>
        <family val="3"/>
        <charset val="128"/>
      </rPr>
      <t>＝</t>
    </r>
  </si>
  <si>
    <t>Ｅ1＋Ｅ2</t>
  </si>
  <si>
    <t>６．桁架設工</t>
  </si>
  <si>
    <t>６－①　主桁の組立</t>
  </si>
  <si>
    <t>・主桁架設回数</t>
    <rPh sb="3" eb="5">
      <t>カセツ</t>
    </rPh>
    <rPh sb="5" eb="7">
      <t>カイスウ</t>
    </rPh>
    <phoneticPr fontId="2"/>
  </si>
  <si>
    <t>ｎ＝</t>
  </si>
  <si>
    <t>・主桁質量</t>
    <rPh sb="1" eb="2">
      <t>シュ</t>
    </rPh>
    <rPh sb="2" eb="3">
      <t>ケタ</t>
    </rPh>
    <rPh sb="3" eb="5">
      <t>シツリョウ</t>
    </rPh>
    <phoneticPr fontId="2"/>
  </si>
  <si>
    <t>組立質量</t>
    <rPh sb="0" eb="2">
      <t>クミタテ</t>
    </rPh>
    <rPh sb="2" eb="4">
      <t>シツリョウ</t>
    </rPh>
    <phoneticPr fontId="2"/>
  </si>
  <si>
    <t>・一部材当り質量</t>
    <phoneticPr fontId="2"/>
  </si>
  <si>
    <r>
      <t>a</t>
    </r>
    <r>
      <rPr>
        <vertAlign val="subscript"/>
        <sz val="10"/>
        <rFont val="ＭＳ ゴシック"/>
        <family val="3"/>
        <charset val="128"/>
      </rPr>
      <t>1</t>
    </r>
    <r>
      <rPr>
        <sz val="10"/>
        <rFont val="ＭＳ ゴシック"/>
        <family val="3"/>
        <charset val="128"/>
      </rPr>
      <t>＝</t>
    </r>
    <phoneticPr fontId="2"/>
  </si>
  <si>
    <t>・一日当たりの架設質量</t>
  </si>
  <si>
    <t>Ｄw＝</t>
    <phoneticPr fontId="2"/>
  </si>
  <si>
    <t>≦</t>
    <phoneticPr fontId="2"/>
  </si>
  <si>
    <t>Ｄw</t>
  </si>
  <si>
    <r>
      <t>ｆ</t>
    </r>
    <r>
      <rPr>
        <vertAlign val="subscript"/>
        <sz val="10"/>
        <rFont val="ＭＳ ゴシック"/>
        <family val="3"/>
        <charset val="128"/>
      </rPr>
      <t>1</t>
    </r>
    <r>
      <rPr>
        <sz val="10"/>
        <rFont val="ＭＳ ゴシック"/>
        <family val="3"/>
        <charset val="128"/>
      </rPr>
      <t>＝</t>
    </r>
  </si>
  <si>
    <t>６－②　主桁の送出し</t>
  </si>
  <si>
    <t>（エンドレスローラ送出し装置使用）</t>
  </si>
  <si>
    <t>・送出し長</t>
    <rPh sb="1" eb="3">
      <t>オクリダ</t>
    </rPh>
    <rPh sb="4" eb="5">
      <t>チョウ</t>
    </rPh>
    <phoneticPr fontId="2"/>
  </si>
  <si>
    <r>
      <t>ｆ</t>
    </r>
    <r>
      <rPr>
        <vertAlign val="subscript"/>
        <sz val="10"/>
        <rFont val="ＭＳ ゴシック"/>
        <family val="3"/>
        <charset val="128"/>
      </rPr>
      <t>2</t>
    </r>
    <r>
      <rPr>
        <sz val="10"/>
        <rFont val="ＭＳ ゴシック"/>
        <family val="3"/>
        <charset val="128"/>
      </rPr>
      <t>＝</t>
    </r>
  </si>
  <si>
    <t>６－③　主桁の降下</t>
  </si>
  <si>
    <t>・降下量</t>
    <rPh sb="1" eb="3">
      <t>コウカ</t>
    </rPh>
    <rPh sb="3" eb="4">
      <t>リョウ</t>
    </rPh>
    <phoneticPr fontId="2"/>
  </si>
  <si>
    <t>降下量×降下回数</t>
    <rPh sb="0" eb="2">
      <t>コウカ</t>
    </rPh>
    <rPh sb="2" eb="3">
      <t>リョウ</t>
    </rPh>
    <rPh sb="4" eb="6">
      <t>コウカ</t>
    </rPh>
    <rPh sb="6" eb="8">
      <t>カイスウ</t>
    </rPh>
    <phoneticPr fontId="2"/>
  </si>
  <si>
    <r>
      <t>ｆ</t>
    </r>
    <r>
      <rPr>
        <vertAlign val="subscript"/>
        <sz val="10"/>
        <rFont val="ＭＳ ゴシック"/>
        <family val="3"/>
        <charset val="128"/>
      </rPr>
      <t>3</t>
    </r>
    <r>
      <rPr>
        <sz val="10"/>
        <rFont val="ＭＳ ゴシック"/>
        <family val="3"/>
        <charset val="128"/>
      </rPr>
      <t>＝</t>
    </r>
  </si>
  <si>
    <t>・横取り回数</t>
    <rPh sb="1" eb="3">
      <t>ヨコド</t>
    </rPh>
    <rPh sb="4" eb="6">
      <t>カイスウ</t>
    </rPh>
    <phoneticPr fontId="2"/>
  </si>
  <si>
    <t>日/回</t>
    <rPh sb="0" eb="1">
      <t>ニチ</t>
    </rPh>
    <rPh sb="2" eb="3">
      <t>カイ</t>
    </rPh>
    <phoneticPr fontId="2"/>
  </si>
  <si>
    <t>（１回当り所要日数）</t>
    <rPh sb="2" eb="3">
      <t>カイ</t>
    </rPh>
    <rPh sb="3" eb="4">
      <t>アタ</t>
    </rPh>
    <rPh sb="5" eb="7">
      <t>ショヨウ</t>
    </rPh>
    <rPh sb="7" eb="9">
      <t>ニッスウ</t>
    </rPh>
    <phoneticPr fontId="2"/>
  </si>
  <si>
    <t>・横桁架設回数</t>
    <rPh sb="1" eb="2">
      <t>ヨコ</t>
    </rPh>
    <rPh sb="2" eb="3">
      <t>ケタ</t>
    </rPh>
    <rPh sb="3" eb="5">
      <t>カセツ</t>
    </rPh>
    <rPh sb="5" eb="7">
      <t>カイスウ</t>
    </rPh>
    <phoneticPr fontId="2"/>
  </si>
  <si>
    <t>・横桁質量</t>
    <rPh sb="1" eb="2">
      <t>ヨコ</t>
    </rPh>
    <rPh sb="2" eb="3">
      <t>ケタ</t>
    </rPh>
    <phoneticPr fontId="2"/>
  </si>
  <si>
    <t>Ｗ＝</t>
  </si>
  <si>
    <t>ただし</t>
    <phoneticPr fontId="2"/>
  </si>
  <si>
    <t>×（</t>
    <phoneticPr fontId="2"/>
  </si>
  <si>
    <t>）｝</t>
    <phoneticPr fontId="2"/>
  </si>
  <si>
    <t>t/日</t>
    <phoneticPr fontId="2"/>
  </si>
  <si>
    <t>Ｗ／Ｄw</t>
    <phoneticPr fontId="2"/>
  </si>
  <si>
    <t>７．現場継手部溶接工</t>
  </si>
  <si>
    <t>・全溶接長</t>
    <rPh sb="1" eb="2">
      <t>ゼン</t>
    </rPh>
    <rPh sb="2" eb="4">
      <t>ヨウセツ</t>
    </rPh>
    <rPh sb="4" eb="5">
      <t>チョウ</t>
    </rPh>
    <phoneticPr fontId="2"/>
  </si>
  <si>
    <t>（上フランジ幅＋ウェブ幅＋下フランジ幅）×ジョイント数</t>
  </si>
  <si>
    <t xml:space="preserve">＝ </t>
    <phoneticPr fontId="2"/>
  </si>
  <si>
    <t>（溶接実延長による係数)</t>
    <rPh sb="1" eb="3">
      <t>ヨウセツ</t>
    </rPh>
    <rPh sb="3" eb="4">
      <t>ジツ</t>
    </rPh>
    <rPh sb="4" eb="6">
      <t>エンチョウ</t>
    </rPh>
    <rPh sb="9" eb="11">
      <t>ケイスウ</t>
    </rPh>
    <phoneticPr fontId="2"/>
  </si>
  <si>
    <t>・現場溶接継手数</t>
    <rPh sb="1" eb="3">
      <t>ゲンバ</t>
    </rPh>
    <rPh sb="3" eb="5">
      <t>ヨウセツ</t>
    </rPh>
    <rPh sb="5" eb="6">
      <t>ツギ</t>
    </rPh>
    <rPh sb="6" eb="7">
      <t>テ</t>
    </rPh>
    <rPh sb="7" eb="8">
      <t>スウ</t>
    </rPh>
    <phoneticPr fontId="2"/>
  </si>
  <si>
    <t>・平均板厚</t>
    <rPh sb="1" eb="3">
      <t>ヘイキン</t>
    </rPh>
    <rPh sb="3" eb="4">
      <t>イタ</t>
    </rPh>
    <rPh sb="4" eb="5">
      <t>アツ</t>
    </rPh>
    <phoneticPr fontId="2"/>
  </si>
  <si>
    <t>溶接長（ｍｍ）</t>
    <rPh sb="0" eb="2">
      <t>ヨウセツ</t>
    </rPh>
    <rPh sb="2" eb="3">
      <t>チョウ</t>
    </rPh>
    <phoneticPr fontId="2"/>
  </si>
  <si>
    <t>板厚（ｍｍ）</t>
    <rPh sb="0" eb="1">
      <t>イタ</t>
    </rPh>
    <rPh sb="1" eb="2">
      <t>アツ</t>
    </rPh>
    <phoneticPr fontId="2"/>
  </si>
  <si>
    <t>上フランジ</t>
    <rPh sb="0" eb="1">
      <t>ウエ</t>
    </rPh>
    <phoneticPr fontId="2"/>
  </si>
  <si>
    <t>ウェブ</t>
    <phoneticPr fontId="2"/>
  </si>
  <si>
    <t>下フランジ</t>
    <rPh sb="0" eb="1">
      <t>シタ</t>
    </rPh>
    <phoneticPr fontId="2"/>
  </si>
  <si>
    <t>→</t>
    <phoneticPr fontId="2"/>
  </si>
  <si>
    <r>
      <t>α</t>
    </r>
    <r>
      <rPr>
        <vertAlign val="subscript"/>
        <sz val="10"/>
        <rFont val="ＭＳ ゴシック"/>
        <family val="3"/>
        <charset val="128"/>
      </rPr>
      <t>2</t>
    </r>
    <r>
      <rPr>
        <sz val="10"/>
        <rFont val="ＭＳ ゴシック"/>
        <family val="3"/>
        <charset val="128"/>
      </rPr>
      <t>＝</t>
    </r>
    <phoneticPr fontId="2"/>
  </si>
  <si>
    <t>（平均板厚による係数)</t>
    <rPh sb="1" eb="3">
      <t>ヘイキン</t>
    </rPh>
    <rPh sb="3" eb="4">
      <t>イタ</t>
    </rPh>
    <rPh sb="4" eb="5">
      <t>アツ</t>
    </rPh>
    <rPh sb="8" eb="10">
      <t>ケイスウ</t>
    </rPh>
    <phoneticPr fontId="2"/>
  </si>
  <si>
    <t>・日当たり施工量</t>
    <rPh sb="1" eb="3">
      <t>ヒア</t>
    </rPh>
    <rPh sb="5" eb="7">
      <t>セコウ</t>
    </rPh>
    <rPh sb="7" eb="8">
      <t>リョウ</t>
    </rPh>
    <phoneticPr fontId="2"/>
  </si>
  <si>
    <t>ｙ＝</t>
    <phoneticPr fontId="2"/>
  </si>
  <si>
    <r>
      <t>2.13×α</t>
    </r>
    <r>
      <rPr>
        <vertAlign val="subscript"/>
        <sz val="10"/>
        <rFont val="ＭＳ ゴシック"/>
        <family val="3"/>
        <charset val="128"/>
      </rPr>
      <t>1</t>
    </r>
    <r>
      <rPr>
        <sz val="10"/>
        <rFont val="ＭＳ ゴシック"/>
        <family val="3"/>
        <charset val="128"/>
      </rPr>
      <t>×α</t>
    </r>
    <r>
      <rPr>
        <vertAlign val="subscript"/>
        <sz val="10"/>
        <rFont val="ＭＳ ゴシック"/>
        <family val="3"/>
        <charset val="128"/>
      </rPr>
      <t>2</t>
    </r>
  </si>
  <si>
    <t>ｍ/日・P</t>
    <rPh sb="2" eb="3">
      <t>ニチ</t>
    </rPh>
    <phoneticPr fontId="2"/>
  </si>
  <si>
    <t>Ｇ＝</t>
  </si>
  <si>
    <t>８．溶接用ケーシング設備工</t>
  </si>
  <si>
    <t>Ｄj＝</t>
    <phoneticPr fontId="2"/>
  </si>
  <si>
    <t>継手/日</t>
    <rPh sb="0" eb="1">
      <t>ツギ</t>
    </rPh>
    <rPh sb="1" eb="2">
      <t>テ</t>
    </rPh>
    <rPh sb="3" eb="4">
      <t>ニチ</t>
    </rPh>
    <phoneticPr fontId="2"/>
  </si>
  <si>
    <t>Ｈ＝</t>
  </si>
  <si>
    <t>９．支承据付工</t>
  </si>
  <si>
    <t>・支承設置数</t>
  </si>
  <si>
    <t>基</t>
  </si>
  <si>
    <t>・１基当り支承質量</t>
    <rPh sb="2" eb="3">
      <t>キ</t>
    </rPh>
    <rPh sb="3" eb="4">
      <t>アタ</t>
    </rPh>
    <rPh sb="7" eb="9">
      <t>シツリョウ</t>
    </rPh>
    <phoneticPr fontId="2"/>
  </si>
  <si>
    <t>端橋脚</t>
    <rPh sb="0" eb="1">
      <t>タン</t>
    </rPh>
    <rPh sb="1" eb="3">
      <t>キョウキャク</t>
    </rPh>
    <phoneticPr fontId="2"/>
  </si>
  <si>
    <t>１／（0.124Ｗ＋0.296）</t>
  </si>
  <si>
    <t>基/日</t>
    <rPh sb="0" eb="1">
      <t>モト</t>
    </rPh>
    <rPh sb="2" eb="3">
      <t>ニチ</t>
    </rPh>
    <phoneticPr fontId="2"/>
  </si>
  <si>
    <t>中間橋脚</t>
    <rPh sb="0" eb="2">
      <t>チュウカン</t>
    </rPh>
    <rPh sb="2" eb="4">
      <t>キョウキャク</t>
    </rPh>
    <phoneticPr fontId="2"/>
  </si>
  <si>
    <t>１／（0.149Ｗ＋0.296）</t>
  </si>
  <si>
    <t>Ｉ＝</t>
  </si>
  <si>
    <t>Ｎ／Ｄn</t>
    <phoneticPr fontId="2"/>
  </si>
  <si>
    <t>１０．高力ボルト本締工</t>
  </si>
  <si>
    <t>・ボルト総本数</t>
  </si>
  <si>
    <t>Ｑ＝</t>
  </si>
  <si>
    <t>本／日</t>
  </si>
  <si>
    <t>本/日</t>
  </si>
  <si>
    <t>Ｊ＝</t>
  </si>
  <si>
    <t>１１．落橋防止装置取付工</t>
  </si>
  <si>
    <t>・落橋防止装置</t>
  </si>
  <si>
    <t>Ｋ＝</t>
  </si>
  <si>
    <t>Ｄk＝</t>
    <phoneticPr fontId="2"/>
  </si>
  <si>
    <t>組／日</t>
  </si>
  <si>
    <t>Ｋ／Ｄk</t>
    <phoneticPr fontId="2"/>
  </si>
  <si>
    <t>１２．足場工</t>
  </si>
  <si>
    <t>１２－①　架設用足場</t>
  </si>
  <si>
    <t>(1)　足場の種類</t>
  </si>
  <si>
    <t>・架設単独使用のワイヤブリッジ転用足場</t>
    <rPh sb="15" eb="17">
      <t>テンヨウ</t>
    </rPh>
    <phoneticPr fontId="2"/>
  </si>
  <si>
    <t>(2)　所要日数算出条件</t>
  </si>
  <si>
    <t>・足場使用回数ｍは１回とする。</t>
    <rPh sb="10" eb="11">
      <t>１カイ</t>
    </rPh>
    <phoneticPr fontId="2"/>
  </si>
  <si>
    <t>・橋面積</t>
    <rPh sb="1" eb="2">
      <t>ハシ</t>
    </rPh>
    <phoneticPr fontId="2"/>
  </si>
  <si>
    <t>Ａ＝</t>
  </si>
  <si>
    <t>総幅員×橋長</t>
  </si>
  <si>
    <t>(3)　足場の所要日数</t>
  </si>
  <si>
    <t>1)　主体足場</t>
  </si>
  <si>
    <r>
      <t>ｌ</t>
    </r>
    <r>
      <rPr>
        <vertAlign val="subscript"/>
        <sz val="10"/>
        <rFont val="ＭＳ ゴシック"/>
        <family val="3"/>
        <charset val="128"/>
      </rPr>
      <t>1-1</t>
    </r>
    <r>
      <rPr>
        <sz val="10"/>
        <rFont val="ＭＳ ゴシック"/>
        <family val="3"/>
        <charset val="128"/>
      </rPr>
      <t>＝</t>
    </r>
  </si>
  <si>
    <t>Ａ×Ｎ</t>
  </si>
  <si>
    <t>作業編成人員</t>
  </si>
  <si>
    <t>2)　中段足場</t>
  </si>
  <si>
    <r>
      <t>ｌ</t>
    </r>
    <r>
      <rPr>
        <vertAlign val="subscript"/>
        <sz val="10"/>
        <rFont val="ＭＳ ゴシック"/>
        <family val="3"/>
        <charset val="128"/>
      </rPr>
      <t>1-2</t>
    </r>
    <r>
      <rPr>
        <sz val="10"/>
        <rFont val="ＭＳ ゴシック"/>
        <family val="3"/>
        <charset val="128"/>
      </rPr>
      <t>＝</t>
    </r>
  </si>
  <si>
    <t>Ａ</t>
    <phoneticPr fontId="2"/>
  </si>
  <si>
    <t>作業量(設置)</t>
    <rPh sb="0" eb="2">
      <t>サギョウ</t>
    </rPh>
    <rPh sb="2" eb="3">
      <t>リョウ</t>
    </rPh>
    <rPh sb="4" eb="6">
      <t>セッチ</t>
    </rPh>
    <phoneticPr fontId="2"/>
  </si>
  <si>
    <t>作業量(撤去)</t>
    <rPh sb="0" eb="2">
      <t>サギョウ</t>
    </rPh>
    <rPh sb="2" eb="3">
      <t>リョウ</t>
    </rPh>
    <rPh sb="4" eb="6">
      <t>テッキョ</t>
    </rPh>
    <phoneticPr fontId="2"/>
  </si>
  <si>
    <t>3)　安全通路</t>
  </si>
  <si>
    <r>
      <t>ｌ</t>
    </r>
    <r>
      <rPr>
        <vertAlign val="subscript"/>
        <sz val="10"/>
        <rFont val="ＭＳ ゴシック"/>
        <family val="3"/>
        <charset val="128"/>
      </rPr>
      <t>1-3</t>
    </r>
    <r>
      <rPr>
        <sz val="10"/>
        <rFont val="ＭＳ ゴシック"/>
        <family val="3"/>
        <charset val="128"/>
      </rPr>
      <t>＝</t>
    </r>
  </si>
  <si>
    <t>作業量(設置・撤去)</t>
    <rPh sb="0" eb="2">
      <t>サギョウ</t>
    </rPh>
    <rPh sb="2" eb="3">
      <t>リョウ</t>
    </rPh>
    <rPh sb="4" eb="6">
      <t>セッチ</t>
    </rPh>
    <rPh sb="7" eb="9">
      <t>テッキョ</t>
    </rPh>
    <phoneticPr fontId="2"/>
  </si>
  <si>
    <t>4)　部分作業床</t>
  </si>
  <si>
    <r>
      <t>ｌ</t>
    </r>
    <r>
      <rPr>
        <vertAlign val="subscript"/>
        <sz val="10"/>
        <rFont val="ＭＳ ゴシック"/>
        <family val="3"/>
        <charset val="128"/>
      </rPr>
      <t>1-4</t>
    </r>
    <r>
      <rPr>
        <sz val="10"/>
        <rFont val="ＭＳ ゴシック"/>
        <family val="3"/>
        <charset val="128"/>
      </rPr>
      <t>＝</t>
    </r>
  </si>
  <si>
    <t>所要日数</t>
  </si>
  <si>
    <r>
      <t>ｌ</t>
    </r>
    <r>
      <rPr>
        <vertAlign val="subscript"/>
        <sz val="10"/>
        <rFont val="ＭＳ ゴシック"/>
        <family val="3"/>
        <charset val="128"/>
      </rPr>
      <t>1</t>
    </r>
    <r>
      <rPr>
        <sz val="10"/>
        <rFont val="ＭＳ ゴシック"/>
        <family val="3"/>
        <charset val="128"/>
      </rPr>
      <t>＝</t>
    </r>
  </si>
  <si>
    <t>・架設単独使用のパイプ吊足場</t>
    <rPh sb="11" eb="12">
      <t>ツリ</t>
    </rPh>
    <rPh sb="12" eb="14">
      <t>アシバ</t>
    </rPh>
    <phoneticPr fontId="2"/>
  </si>
  <si>
    <t>工事桁高</t>
    <rPh sb="0" eb="2">
      <t>コウジ</t>
    </rPh>
    <phoneticPr fontId="2"/>
  </si>
  <si>
    <t>・架設足場＝主体足場＋安全通路</t>
  </si>
  <si>
    <t>・作業編成人員は６人／組とする。</t>
  </si>
  <si>
    <t>作業量</t>
    <rPh sb="0" eb="2">
      <t>サギョウ</t>
    </rPh>
    <rPh sb="2" eb="3">
      <t>リョウ</t>
    </rPh>
    <phoneticPr fontId="2"/>
  </si>
  <si>
    <t>2)　安全通路</t>
    <phoneticPr fontId="2"/>
  </si>
  <si>
    <t>Ｈ</t>
    <phoneticPr fontId="2"/>
  </si>
  <si>
    <t>下部工</t>
  </si>
  <si>
    <t>計</t>
  </si>
  <si>
    <t>１３．継手部現場塗装工</t>
  </si>
  <si>
    <t>部位</t>
    <rPh sb="0" eb="2">
      <t>ブイ</t>
    </rPh>
    <phoneticPr fontId="2"/>
  </si>
  <si>
    <r>
      <t>Ａ（ｍ</t>
    </r>
    <r>
      <rPr>
        <vertAlign val="superscript"/>
        <sz val="10"/>
        <rFont val="ＭＳ ゴシック"/>
        <family val="3"/>
        <charset val="128"/>
      </rPr>
      <t>2</t>
    </r>
    <r>
      <rPr>
        <sz val="10"/>
        <rFont val="ＭＳ ゴシック"/>
        <family val="3"/>
        <charset val="128"/>
      </rPr>
      <t>）</t>
    </r>
    <phoneticPr fontId="2"/>
  </si>
  <si>
    <t>外面</t>
    <rPh sb="0" eb="1">
      <t>ソト</t>
    </rPh>
    <rPh sb="1" eb="2">
      <t>ナイメン</t>
    </rPh>
    <phoneticPr fontId="2"/>
  </si>
  <si>
    <t>内面</t>
    <rPh sb="0" eb="1">
      <t>ナイ</t>
    </rPh>
    <rPh sb="1" eb="2">
      <t>ガイメン</t>
    </rPh>
    <phoneticPr fontId="2"/>
  </si>
  <si>
    <t>・素地調整日数</t>
  </si>
  <si>
    <r>
      <t>ｍ</t>
    </r>
    <r>
      <rPr>
        <vertAlign val="subscript"/>
        <sz val="10"/>
        <rFont val="ＭＳ ゴシック"/>
        <family val="3"/>
        <charset val="128"/>
      </rPr>
      <t>1</t>
    </r>
    <r>
      <rPr>
        <sz val="10"/>
        <rFont val="ＭＳ ゴシック"/>
        <family val="3"/>
        <charset val="128"/>
      </rPr>
      <t>＝</t>
    </r>
  </si>
  <si>
    <t>≒</t>
    <phoneticPr fontId="2"/>
  </si>
  <si>
    <t>・外面塗装作業日数</t>
  </si>
  <si>
    <r>
      <t>ｍ</t>
    </r>
    <r>
      <rPr>
        <vertAlign val="subscript"/>
        <sz val="10"/>
        <rFont val="ＭＳ ゴシック"/>
        <family val="3"/>
        <charset val="128"/>
      </rPr>
      <t>2</t>
    </r>
    <r>
      <rPr>
        <sz val="10"/>
        <rFont val="ＭＳ ゴシック"/>
        <family val="3"/>
        <charset val="128"/>
      </rPr>
      <t>＝</t>
    </r>
  </si>
  <si>
    <t>・内面塗装作業日数</t>
    <rPh sb="1" eb="2">
      <t>ナイ</t>
    </rPh>
    <phoneticPr fontId="2"/>
  </si>
  <si>
    <r>
      <t>ｍ</t>
    </r>
    <r>
      <rPr>
        <vertAlign val="subscript"/>
        <sz val="10"/>
        <rFont val="ＭＳ ゴシック"/>
        <family val="3"/>
        <charset val="128"/>
      </rPr>
      <t>3</t>
    </r>
    <r>
      <rPr>
        <sz val="10"/>
        <rFont val="ＭＳ ゴシック"/>
        <family val="3"/>
        <charset val="128"/>
      </rPr>
      <t>＝</t>
    </r>
  </si>
  <si>
    <t>Ｍ＝</t>
  </si>
  <si>
    <t>１３．桁端処理工</t>
  </si>
  <si>
    <t>・主桁切断長</t>
    <rPh sb="1" eb="2">
      <t>シュ</t>
    </rPh>
    <rPh sb="2" eb="3">
      <t>ケタ</t>
    </rPh>
    <rPh sb="3" eb="5">
      <t>セツダン</t>
    </rPh>
    <rPh sb="5" eb="6">
      <t>チョウ</t>
    </rPh>
    <phoneticPr fontId="2"/>
  </si>
  <si>
    <t>（フランジ幅×2＋主桁高）×主桁数</t>
  </si>
  <si>
    <t>合成床版面積</t>
    <rPh sb="0" eb="2">
      <t>ゴウセイ</t>
    </rPh>
    <rPh sb="2" eb="4">
      <t>ショウバン</t>
    </rPh>
    <rPh sb="4" eb="6">
      <t>メンセキ</t>
    </rPh>
    <phoneticPr fontId="1"/>
  </si>
  <si>
    <t>Ａ＝</t>
    <phoneticPr fontId="1"/>
  </si>
  <si>
    <r>
      <t>ｍ</t>
    </r>
    <r>
      <rPr>
        <vertAlign val="superscript"/>
        <sz val="10"/>
        <rFont val="ＭＳ ゴシック"/>
        <family val="3"/>
        <charset val="128"/>
      </rPr>
      <t>2</t>
    </r>
    <phoneticPr fontId="2"/>
  </si>
  <si>
    <r>
      <t>ｍ</t>
    </r>
    <r>
      <rPr>
        <vertAlign val="superscript"/>
        <sz val="10"/>
        <rFont val="ＭＳ ゴシック"/>
        <family val="3"/>
        <charset val="128"/>
      </rPr>
      <t>2</t>
    </r>
    <r>
      <rPr>
        <sz val="10"/>
        <rFont val="ＭＳ ゴシック"/>
        <family val="3"/>
        <charset val="128"/>
      </rPr>
      <t>当たり施工量</t>
    </r>
    <rPh sb="2" eb="3">
      <t>ア</t>
    </rPh>
    <rPh sb="5" eb="7">
      <t>セコウ</t>
    </rPh>
    <rPh sb="7" eb="8">
      <t>リョウ</t>
    </rPh>
    <phoneticPr fontId="2"/>
  </si>
  <si>
    <t>・合成床版架設工</t>
    <rPh sb="1" eb="3">
      <t>ゴウセイ</t>
    </rPh>
    <rPh sb="3" eb="5">
      <t>ショウバン</t>
    </rPh>
    <rPh sb="5" eb="7">
      <t>カセツ</t>
    </rPh>
    <rPh sb="7" eb="8">
      <t>コウ</t>
    </rPh>
    <phoneticPr fontId="1"/>
  </si>
  <si>
    <t>＝</t>
    <phoneticPr fontId="1"/>
  </si>
  <si>
    <t>日</t>
    <rPh sb="0" eb="1">
      <t>ニチ</t>
    </rPh>
    <phoneticPr fontId="1"/>
  </si>
  <si>
    <t>・主桁上フランジシール工</t>
    <rPh sb="1" eb="2">
      <t>シュ</t>
    </rPh>
    <rPh sb="2" eb="3">
      <t>ケタ</t>
    </rPh>
    <rPh sb="3" eb="4">
      <t>ウエ</t>
    </rPh>
    <rPh sb="11" eb="12">
      <t>コウ</t>
    </rPh>
    <phoneticPr fontId="1"/>
  </si>
  <si>
    <t>シール延長</t>
    <rPh sb="3" eb="5">
      <t>エンチョウ</t>
    </rPh>
    <phoneticPr fontId="1"/>
  </si>
  <si>
    <t>橋長×主桁本数</t>
    <rPh sb="0" eb="2">
      <t>キョウチョウ</t>
    </rPh>
    <rPh sb="3" eb="4">
      <t>シュ</t>
    </rPh>
    <rPh sb="4" eb="5">
      <t>ケタ</t>
    </rPh>
    <rPh sb="5" eb="7">
      <t>ホンスウ</t>
    </rPh>
    <phoneticPr fontId="2"/>
  </si>
  <si>
    <t>ｍ</t>
    <phoneticPr fontId="1"/>
  </si>
  <si>
    <t>・合成床版接合部シール工</t>
    <rPh sb="1" eb="3">
      <t>ゴウセイ</t>
    </rPh>
    <rPh sb="3" eb="5">
      <t>ショウバン</t>
    </rPh>
    <rPh sb="5" eb="7">
      <t>セツゴウ</t>
    </rPh>
    <rPh sb="7" eb="8">
      <t>ブ</t>
    </rPh>
    <rPh sb="11" eb="12">
      <t>コウ</t>
    </rPh>
    <phoneticPr fontId="1"/>
  </si>
  <si>
    <t>総幅員×（床版パネル数－１）</t>
    <rPh sb="0" eb="1">
      <t>ソウ</t>
    </rPh>
    <rPh sb="1" eb="3">
      <t>フクイン</t>
    </rPh>
    <rPh sb="5" eb="7">
      <t>ショウバン</t>
    </rPh>
    <rPh sb="10" eb="11">
      <t>スウ</t>
    </rPh>
    <phoneticPr fontId="2"/>
  </si>
  <si>
    <t>※　床版パネル数＝橋長／３ｍ</t>
    <rPh sb="2" eb="4">
      <t>ショウバン</t>
    </rPh>
    <rPh sb="7" eb="8">
      <t>スウ</t>
    </rPh>
    <rPh sb="9" eb="11">
      <t>キョウチョウ</t>
    </rPh>
    <phoneticPr fontId="2"/>
  </si>
  <si>
    <t>８．所要日数内訳</t>
    <phoneticPr fontId="6"/>
  </si>
  <si>
    <t>ｍ</t>
    <phoneticPr fontId="2"/>
  </si>
  <si>
    <t>Ｌｙ＝</t>
    <phoneticPr fontId="2"/>
  </si>
  <si>
    <t>＝</t>
    <phoneticPr fontId="2"/>
  </si>
  <si>
    <t>×</t>
    <phoneticPr fontId="2"/>
  </si>
  <si>
    <t>＋</t>
    <phoneticPr fontId="2"/>
  </si>
  <si>
    <t>（Ｂ＋2.0）×（0.15×ｈ＋1.5）×Ｎ</t>
    <phoneticPr fontId="2"/>
  </si>
  <si>
    <t>（h＜10m）</t>
    <phoneticPr fontId="2"/>
  </si>
  <si>
    <t>）×（</t>
    <phoneticPr fontId="2"/>
  </si>
  <si>
    <r>
      <t>ｍ</t>
    </r>
    <r>
      <rPr>
        <vertAlign val="superscript"/>
        <sz val="10"/>
        <rFont val="ＭＳ ゴシック"/>
        <family val="3"/>
        <charset val="128"/>
      </rPr>
      <t>2</t>
    </r>
    <phoneticPr fontId="2"/>
  </si>
  <si>
    <t>（＝</t>
    <phoneticPr fontId="2"/>
  </si>
  <si>
    <t>Ｎ：</t>
    <phoneticPr fontId="2"/>
  </si>
  <si>
    <t>／（</t>
    <phoneticPr fontId="2"/>
  </si>
  <si>
    <t>×</t>
    <phoneticPr fontId="2"/>
  </si>
  <si>
    <t>＝</t>
    <phoneticPr fontId="2"/>
  </si>
  <si>
    <t>Ａ／Ｄa</t>
    <phoneticPr fontId="2"/>
  </si>
  <si>
    <t>／</t>
    <phoneticPr fontId="2"/>
  </si>
  <si>
    <r>
      <t>Ｗ</t>
    </r>
    <r>
      <rPr>
        <vertAlign val="subscript"/>
        <sz val="10"/>
        <rFont val="ＭＳ ゴシック"/>
        <family val="3"/>
        <charset val="128"/>
      </rPr>
      <t>1</t>
    </r>
    <r>
      <rPr>
        <sz val="10"/>
        <rFont val="ＭＳ ゴシック"/>
        <family val="3"/>
        <charset val="128"/>
      </rPr>
      <t>＋Ｗ</t>
    </r>
    <r>
      <rPr>
        <vertAlign val="subscript"/>
        <sz val="10"/>
        <rFont val="ＭＳ ゴシック"/>
        <family val="3"/>
        <charset val="128"/>
      </rPr>
      <t>2</t>
    </r>
    <r>
      <rPr>
        <sz val="10"/>
        <rFont val="ＭＳ ゴシック"/>
        <family val="3"/>
        <charset val="128"/>
      </rPr>
      <t>＋Ｗ</t>
    </r>
    <phoneticPr fontId="2"/>
  </si>
  <si>
    <r>
      <t>Ｗ</t>
    </r>
    <r>
      <rPr>
        <vertAlign val="subscript"/>
        <sz val="10"/>
        <rFont val="ＭＳ ゴシック"/>
        <family val="3"/>
        <charset val="128"/>
      </rPr>
      <t>1</t>
    </r>
    <r>
      <rPr>
        <sz val="10"/>
        <rFont val="ＭＳ ゴシック"/>
        <family val="3"/>
        <charset val="128"/>
      </rPr>
      <t>：</t>
    </r>
    <phoneticPr fontId="2"/>
  </si>
  <si>
    <r>
      <t>Ｗ</t>
    </r>
    <r>
      <rPr>
        <vertAlign val="subscript"/>
        <sz val="10"/>
        <rFont val="ＭＳ ゴシック"/>
        <family val="3"/>
        <charset val="128"/>
      </rPr>
      <t>2</t>
    </r>
    <r>
      <rPr>
        <sz val="10"/>
        <rFont val="ＭＳ ゴシック"/>
        <family val="3"/>
        <charset val="128"/>
      </rPr>
      <t>：</t>
    </r>
    <phoneticPr fontId="2"/>
  </si>
  <si>
    <r>
      <t>Ｗ</t>
    </r>
    <r>
      <rPr>
        <sz val="10"/>
        <rFont val="ＭＳ ゴシック"/>
        <family val="3"/>
        <charset val="128"/>
      </rPr>
      <t>：</t>
    </r>
    <phoneticPr fontId="2"/>
  </si>
  <si>
    <t>(0.149Ｌ＋2.28)×α</t>
    <phoneticPr fontId="2"/>
  </si>
  <si>
    <t>＋</t>
    <phoneticPr fontId="2"/>
  </si>
  <si>
    <t>）×</t>
    <phoneticPr fontId="2"/>
  </si>
  <si>
    <t>ｈ＝</t>
    <phoneticPr fontId="2"/>
  </si>
  <si>
    <t>｜Ｈ－ｈ｜＝｜</t>
    <phoneticPr fontId="2"/>
  </si>
  <si>
    <t>ｍ</t>
    <phoneticPr fontId="2"/>
  </si>
  <si>
    <t>ｔ</t>
    <phoneticPr fontId="2"/>
  </si>
  <si>
    <t>Ｗ＝</t>
    <phoneticPr fontId="2"/>
  </si>
  <si>
    <t>Ｒ＝</t>
    <phoneticPr fontId="2"/>
  </si>
  <si>
    <t>＝（</t>
    <phoneticPr fontId="2"/>
  </si>
  <si>
    <t>Ｌｙ＝</t>
    <phoneticPr fontId="2"/>
  </si>
  <si>
    <t>Ｎ＝（</t>
    <phoneticPr fontId="2"/>
  </si>
  <si>
    <t>÷</t>
    <phoneticPr fontId="2"/>
  </si>
  <si>
    <t>Ｔ：</t>
    <phoneticPr fontId="2"/>
  </si>
  <si>
    <t>）</t>
    <phoneticPr fontId="2"/>
  </si>
  <si>
    <t>ｎ：</t>
    <phoneticPr fontId="2"/>
  </si>
  <si>
    <t>ｈ：</t>
    <phoneticPr fontId="2"/>
  </si>
  <si>
    <t>Ｂ：</t>
    <phoneticPr fontId="2"/>
  </si>
  <si>
    <t>Ｄt＝</t>
    <phoneticPr fontId="2"/>
  </si>
  <si>
    <t>Ｔ／（0.13Ｔ＋1.6）</t>
    <phoneticPr fontId="2"/>
  </si>
  <si>
    <t>Ｔ／Ｄt</t>
    <phoneticPr fontId="2"/>
  </si>
  <si>
    <t>／</t>
    <phoneticPr fontId="2"/>
  </si>
  <si>
    <t>（橋体の単位長さ質量の1/2×手延機長さ）</t>
    <phoneticPr fontId="2"/>
  </si>
  <si>
    <t>｜Ｈ－ｈ｜＝｜</t>
    <phoneticPr fontId="2"/>
  </si>
  <si>
    <t>ｗ＝</t>
    <phoneticPr fontId="2"/>
  </si>
  <si>
    <t>／</t>
    <phoneticPr fontId="2"/>
  </si>
  <si>
    <t>Ｌ＝</t>
    <phoneticPr fontId="2"/>
  </si>
  <si>
    <t>Ｌｙ×2</t>
    <phoneticPr fontId="2"/>
  </si>
  <si>
    <t>＝</t>
    <phoneticPr fontId="2"/>
  </si>
  <si>
    <t>＝</t>
    <phoneticPr fontId="2"/>
  </si>
  <si>
    <t>Ｌ／Ｄ</t>
    <phoneticPr fontId="2"/>
  </si>
  <si>
    <t>ｍ×</t>
    <phoneticPr fontId="2"/>
  </si>
  <si>
    <t>ｍｍ</t>
    <phoneticPr fontId="2"/>
  </si>
  <si>
    <t>×</t>
    <phoneticPr fontId="2"/>
  </si>
  <si>
    <r>
      <t>Ｗ</t>
    </r>
    <r>
      <rPr>
        <vertAlign val="subscript"/>
        <sz val="10"/>
        <rFont val="ＭＳ ゴシック"/>
        <family val="3"/>
        <charset val="128"/>
      </rPr>
      <t>2</t>
    </r>
    <r>
      <rPr>
        <sz val="10"/>
        <rFont val="ＭＳ ゴシック"/>
        <family val="3"/>
        <charset val="128"/>
      </rPr>
      <t>＝</t>
    </r>
    <phoneticPr fontId="2"/>
  </si>
  <si>
    <r>
      <t>Ｗ</t>
    </r>
    <r>
      <rPr>
        <vertAlign val="subscript"/>
        <sz val="10"/>
        <rFont val="ＭＳ ゴシック"/>
        <family val="3"/>
        <charset val="128"/>
      </rPr>
      <t>10</t>
    </r>
    <r>
      <rPr>
        <sz val="10"/>
        <rFont val="ＭＳ ゴシック"/>
        <family val="3"/>
        <charset val="128"/>
      </rPr>
      <t>＝</t>
    </r>
    <phoneticPr fontId="2"/>
  </si>
  <si>
    <r>
      <t>（Ｗ</t>
    </r>
    <r>
      <rPr>
        <vertAlign val="subscript"/>
        <sz val="10"/>
        <rFont val="ＭＳ ゴシック"/>
        <family val="3"/>
        <charset val="128"/>
      </rPr>
      <t>1</t>
    </r>
    <r>
      <rPr>
        <sz val="10"/>
        <rFont val="ＭＳ ゴシック"/>
        <family val="3"/>
        <charset val="128"/>
      </rPr>
      <t>＋Ｗ</t>
    </r>
    <r>
      <rPr>
        <vertAlign val="subscript"/>
        <sz val="10"/>
        <rFont val="ＭＳ ゴシック"/>
        <family val="3"/>
        <charset val="128"/>
      </rPr>
      <t>2</t>
    </r>
    <r>
      <rPr>
        <sz val="10"/>
        <rFont val="ＭＳ ゴシック"/>
        <family val="3"/>
        <charset val="128"/>
      </rPr>
      <t>）×1</t>
    </r>
    <phoneticPr fontId="2"/>
  </si>
  <si>
    <t>）×</t>
    <phoneticPr fontId="2"/>
  </si>
  <si>
    <t>ｔ</t>
    <phoneticPr fontId="2"/>
  </si>
  <si>
    <r>
      <t>Ｗ</t>
    </r>
    <r>
      <rPr>
        <vertAlign val="subscript"/>
        <sz val="10"/>
        <rFont val="ＭＳ ゴシック"/>
        <family val="3"/>
        <charset val="128"/>
      </rPr>
      <t>10</t>
    </r>
    <r>
      <rPr>
        <sz val="10"/>
        <rFont val="ＭＳ ゴシック"/>
        <family val="3"/>
        <charset val="128"/>
      </rPr>
      <t>／（0.21Ｗ＋2）</t>
    </r>
    <phoneticPr fontId="2"/>
  </si>
  <si>
    <t>）</t>
    <phoneticPr fontId="2"/>
  </si>
  <si>
    <r>
      <t>ｂ</t>
    </r>
    <r>
      <rPr>
        <vertAlign val="subscript"/>
        <sz val="10"/>
        <rFont val="ＭＳ ゴシック"/>
        <family val="3"/>
        <charset val="128"/>
      </rPr>
      <t>1</t>
    </r>
    <r>
      <rPr>
        <sz val="10"/>
        <rFont val="ＭＳ ゴシック"/>
        <family val="3"/>
        <charset val="128"/>
      </rPr>
      <t>＝</t>
    </r>
    <phoneticPr fontId="2"/>
  </si>
  <si>
    <r>
      <t>Ｗ</t>
    </r>
    <r>
      <rPr>
        <vertAlign val="subscript"/>
        <sz val="10"/>
        <rFont val="ＭＳ ゴシック"/>
        <family val="3"/>
        <charset val="128"/>
      </rPr>
      <t>10</t>
    </r>
    <r>
      <rPr>
        <sz val="10"/>
        <rFont val="ＭＳ ゴシック"/>
        <family val="3"/>
        <charset val="128"/>
      </rPr>
      <t>／Ｄ</t>
    </r>
    <phoneticPr fontId="2"/>
  </si>
  <si>
    <t>＝</t>
    <phoneticPr fontId="2"/>
  </si>
  <si>
    <t>＋</t>
    <phoneticPr fontId="2"/>
  </si>
  <si>
    <t>＞</t>
    <phoneticPr fontId="2"/>
  </si>
  <si>
    <t>ローラ</t>
    <phoneticPr fontId="2"/>
  </si>
  <si>
    <r>
      <t>ｎ</t>
    </r>
    <r>
      <rPr>
        <vertAlign val="subscript"/>
        <sz val="10"/>
        <rFont val="ＭＳ ゴシック"/>
        <family val="3"/>
        <charset val="128"/>
      </rPr>
      <t>30</t>
    </r>
    <r>
      <rPr>
        <sz val="10"/>
        <rFont val="ＭＳ ゴシック"/>
        <family val="3"/>
        <charset val="128"/>
      </rPr>
      <t>＝</t>
    </r>
    <phoneticPr fontId="2"/>
  </si>
  <si>
    <t>Ｌ＝</t>
    <phoneticPr fontId="2"/>
  </si>
  <si>
    <t>ｌ＋Ｂ＋3.0</t>
    <phoneticPr fontId="2"/>
  </si>
  <si>
    <r>
      <t>Ｎ</t>
    </r>
    <r>
      <rPr>
        <vertAlign val="subscript"/>
        <sz val="10"/>
        <rFont val="ＭＳ ゴシック"/>
        <family val="3"/>
        <charset val="128"/>
      </rPr>
      <t>10</t>
    </r>
    <r>
      <rPr>
        <sz val="10"/>
        <rFont val="ＭＳ ゴシック"/>
        <family val="3"/>
        <charset val="128"/>
      </rPr>
      <t>＝</t>
    </r>
    <phoneticPr fontId="2"/>
  </si>
  <si>
    <r>
      <t>0.54Ｗ</t>
    </r>
    <r>
      <rPr>
        <vertAlign val="subscript"/>
        <sz val="10"/>
        <rFont val="ＭＳ ゴシック"/>
        <family val="3"/>
        <charset val="128"/>
      </rPr>
      <t>30</t>
    </r>
    <r>
      <rPr>
        <sz val="10"/>
        <rFont val="ＭＳ ゴシック"/>
        <family val="3"/>
        <charset val="128"/>
      </rPr>
      <t>＋（0.125Ｐ</t>
    </r>
    <r>
      <rPr>
        <vertAlign val="subscript"/>
        <sz val="10"/>
        <rFont val="ＭＳ ゴシック"/>
        <family val="3"/>
        <charset val="128"/>
      </rPr>
      <t>10</t>
    </r>
    <r>
      <rPr>
        <sz val="10"/>
        <rFont val="ＭＳ ゴシック"/>
        <family val="3"/>
        <charset val="128"/>
      </rPr>
      <t>＋0.15Ｐ</t>
    </r>
    <r>
      <rPr>
        <vertAlign val="subscript"/>
        <sz val="10"/>
        <rFont val="ＭＳ ゴシック"/>
        <family val="3"/>
        <charset val="128"/>
      </rPr>
      <t>20</t>
    </r>
    <r>
      <rPr>
        <sz val="10"/>
        <rFont val="ＭＳ ゴシック"/>
        <family val="3"/>
        <charset val="128"/>
      </rPr>
      <t>＋0.3Ｐ</t>
    </r>
    <r>
      <rPr>
        <vertAlign val="subscript"/>
        <sz val="10"/>
        <rFont val="ＭＳ ゴシック"/>
        <family val="3"/>
        <charset val="128"/>
      </rPr>
      <t>30</t>
    </r>
    <r>
      <rPr>
        <sz val="10"/>
        <rFont val="ＭＳ ゴシック"/>
        <family val="3"/>
        <charset val="128"/>
      </rPr>
      <t>）×Ｎ</t>
    </r>
    <r>
      <rPr>
        <vertAlign val="subscript"/>
        <sz val="10"/>
        <rFont val="ＭＳ ゴシック"/>
        <family val="3"/>
        <charset val="128"/>
      </rPr>
      <t>10</t>
    </r>
    <r>
      <rPr>
        <sz val="10"/>
        <rFont val="ＭＳ ゴシック"/>
        <family val="3"/>
        <charset val="128"/>
      </rPr>
      <t>＋3</t>
    </r>
    <phoneticPr fontId="2"/>
  </si>
  <si>
    <t>ケーブルクレーン</t>
    <phoneticPr fontId="2"/>
  </si>
  <si>
    <r>
      <t>0.65Ｗ</t>
    </r>
    <r>
      <rPr>
        <vertAlign val="subscript"/>
        <sz val="10"/>
        <rFont val="ＭＳ ゴシック"/>
        <family val="3"/>
        <charset val="128"/>
      </rPr>
      <t>30</t>
    </r>
    <r>
      <rPr>
        <sz val="10"/>
        <rFont val="ＭＳ ゴシック"/>
        <family val="3"/>
        <charset val="128"/>
      </rPr>
      <t>＋（0.125Ｐ</t>
    </r>
    <r>
      <rPr>
        <vertAlign val="subscript"/>
        <sz val="10"/>
        <rFont val="ＭＳ ゴシック"/>
        <family val="3"/>
        <charset val="128"/>
      </rPr>
      <t>10</t>
    </r>
    <r>
      <rPr>
        <sz val="10"/>
        <rFont val="ＭＳ ゴシック"/>
        <family val="3"/>
        <charset val="128"/>
      </rPr>
      <t>＋0.15Ｐ</t>
    </r>
    <r>
      <rPr>
        <vertAlign val="subscript"/>
        <sz val="10"/>
        <rFont val="ＭＳ ゴシック"/>
        <family val="3"/>
        <charset val="128"/>
      </rPr>
      <t>20</t>
    </r>
    <r>
      <rPr>
        <sz val="10"/>
        <rFont val="ＭＳ ゴシック"/>
        <family val="3"/>
        <charset val="128"/>
      </rPr>
      <t>＋0.3Ｐ</t>
    </r>
    <r>
      <rPr>
        <vertAlign val="subscript"/>
        <sz val="10"/>
        <rFont val="ＭＳ ゴシック"/>
        <family val="3"/>
        <charset val="128"/>
      </rPr>
      <t>30</t>
    </r>
    <r>
      <rPr>
        <sz val="10"/>
        <rFont val="ＭＳ ゴシック"/>
        <family val="3"/>
        <charset val="128"/>
      </rPr>
      <t>）×Ｎ</t>
    </r>
    <r>
      <rPr>
        <vertAlign val="subscript"/>
        <sz val="10"/>
        <rFont val="ＭＳ ゴシック"/>
        <family val="3"/>
        <charset val="128"/>
      </rPr>
      <t>10</t>
    </r>
    <r>
      <rPr>
        <sz val="10"/>
        <rFont val="ＭＳ ゴシック"/>
        <family val="3"/>
        <charset val="128"/>
      </rPr>
      <t>＋3</t>
    </r>
    <phoneticPr fontId="2"/>
  </si>
  <si>
    <t>①</t>
    <phoneticPr fontId="2"/>
  </si>
  <si>
    <r>
      <t>Ｗ</t>
    </r>
    <r>
      <rPr>
        <vertAlign val="subscript"/>
        <sz val="10"/>
        <rFont val="ＭＳ ゴシック"/>
        <family val="3"/>
        <charset val="128"/>
      </rPr>
      <t>40</t>
    </r>
    <r>
      <rPr>
        <sz val="10"/>
        <rFont val="ＭＳ ゴシック"/>
        <family val="3"/>
        <charset val="128"/>
      </rPr>
      <t>＝</t>
    </r>
    <phoneticPr fontId="2"/>
  </si>
  <si>
    <t>Ｄ＝</t>
    <phoneticPr fontId="2"/>
  </si>
  <si>
    <r>
      <t>Ｗ</t>
    </r>
    <r>
      <rPr>
        <vertAlign val="subscript"/>
        <sz val="10"/>
        <rFont val="ＭＳ ゴシック"/>
        <family val="3"/>
        <charset val="128"/>
      </rPr>
      <t>40</t>
    </r>
    <r>
      <rPr>
        <sz val="10"/>
        <rFont val="ＭＳ ゴシック"/>
        <family val="3"/>
        <charset val="128"/>
      </rPr>
      <t>／（α×Ｗ</t>
    </r>
    <r>
      <rPr>
        <vertAlign val="subscript"/>
        <sz val="10"/>
        <rFont val="ＭＳ ゴシック"/>
        <family val="3"/>
        <charset val="128"/>
      </rPr>
      <t>40</t>
    </r>
    <r>
      <rPr>
        <sz val="10"/>
        <rFont val="ＭＳ ゴシック"/>
        <family val="3"/>
        <charset val="128"/>
      </rPr>
      <t>＋3）</t>
    </r>
    <phoneticPr fontId="2"/>
  </si>
  <si>
    <t>／</t>
    <phoneticPr fontId="2"/>
  </si>
  <si>
    <t>＋</t>
    <phoneticPr fontId="2"/>
  </si>
  <si>
    <t>）</t>
    <phoneticPr fontId="2"/>
  </si>
  <si>
    <t>②</t>
    <phoneticPr fontId="2"/>
  </si>
  <si>
    <t>③</t>
    <phoneticPr fontId="2"/>
  </si>
  <si>
    <t>⑥</t>
    <phoneticPr fontId="2"/>
  </si>
  <si>
    <t>⑪</t>
    <phoneticPr fontId="2"/>
  </si>
  <si>
    <t>⑤</t>
    <phoneticPr fontId="2"/>
  </si>
  <si>
    <t>⑦</t>
    <phoneticPr fontId="2"/>
  </si>
  <si>
    <t>⑪</t>
    <phoneticPr fontId="2"/>
  </si>
  <si>
    <t>Ｌ＝</t>
    <phoneticPr fontId="2"/>
  </si>
  <si>
    <t>ｍ</t>
    <phoneticPr fontId="2"/>
  </si>
  <si>
    <t>ｈ＝</t>
    <phoneticPr fontId="2"/>
  </si>
  <si>
    <t>ｍ）</t>
    <phoneticPr fontId="2"/>
  </si>
  <si>
    <t>θ＝</t>
    <phoneticPr fontId="2"/>
  </si>
  <si>
    <t>Ｐ＝</t>
    <phoneticPr fontId="2"/>
  </si>
  <si>
    <t>ｔ</t>
    <phoneticPr fontId="2"/>
  </si>
  <si>
    <t>（</t>
    <phoneticPr fontId="2"/>
  </si>
  <si>
    <t>0.095Ｗ＋（0.12Ｌ／2）＋1.47</t>
    <phoneticPr fontId="6"/>
  </si>
  <si>
    <t>＝</t>
    <phoneticPr fontId="2"/>
  </si>
  <si>
    <t>Ｗi＝</t>
    <phoneticPr fontId="2"/>
  </si>
  <si>
    <t>1.43×Ｎ＋1.62</t>
    <phoneticPr fontId="2"/>
  </si>
  <si>
    <t>ｔ/セット</t>
    <phoneticPr fontId="2"/>
  </si>
  <si>
    <r>
      <t>Ｔ</t>
    </r>
    <r>
      <rPr>
        <vertAlign val="subscript"/>
        <sz val="10"/>
        <rFont val="ＭＳ ゴシック"/>
        <family val="3"/>
        <charset val="128"/>
      </rPr>
      <t>1</t>
    </r>
    <r>
      <rPr>
        <sz val="10"/>
        <rFont val="ＭＳ ゴシック"/>
        <family val="3"/>
        <charset val="128"/>
      </rPr>
      <t>＝</t>
    </r>
    <phoneticPr fontId="2"/>
  </si>
  <si>
    <t>／（</t>
    <phoneticPr fontId="2"/>
  </si>
  <si>
    <t>）</t>
    <phoneticPr fontId="2"/>
  </si>
  <si>
    <r>
      <t>Ｔ</t>
    </r>
    <r>
      <rPr>
        <vertAlign val="subscript"/>
        <sz val="10"/>
        <rFont val="ＭＳ ゴシック"/>
        <family val="3"/>
        <charset val="128"/>
      </rPr>
      <t>1</t>
    </r>
    <r>
      <rPr>
        <sz val="10"/>
        <rFont val="ＭＳ ゴシック"/>
        <family val="3"/>
        <charset val="128"/>
      </rPr>
      <t>／Ｄt</t>
    </r>
    <r>
      <rPr>
        <vertAlign val="subscript"/>
        <sz val="10"/>
        <rFont val="ＭＳ ゴシック"/>
        <family val="3"/>
        <charset val="128"/>
      </rPr>
      <t>10</t>
    </r>
    <phoneticPr fontId="2"/>
  </si>
  <si>
    <r>
      <t>2.0×Ｔ</t>
    </r>
    <r>
      <rPr>
        <vertAlign val="subscript"/>
        <sz val="10"/>
        <rFont val="ＭＳ ゴシック"/>
        <family val="3"/>
        <charset val="128"/>
      </rPr>
      <t>2</t>
    </r>
    <r>
      <rPr>
        <sz val="10"/>
        <rFont val="ＭＳ ゴシック"/>
        <family val="3"/>
        <charset val="128"/>
      </rPr>
      <t>／（0.13×Ｔ</t>
    </r>
    <r>
      <rPr>
        <vertAlign val="subscript"/>
        <sz val="10"/>
        <rFont val="ＭＳ ゴシック"/>
        <family val="3"/>
        <charset val="128"/>
      </rPr>
      <t>2</t>
    </r>
    <r>
      <rPr>
        <sz val="10"/>
        <rFont val="ＭＳ ゴシック"/>
        <family val="3"/>
        <charset val="128"/>
      </rPr>
      <t>＋1.0）</t>
    </r>
    <phoneticPr fontId="2"/>
  </si>
  <si>
    <r>
      <t>Ｔ</t>
    </r>
    <r>
      <rPr>
        <vertAlign val="subscript"/>
        <sz val="10"/>
        <rFont val="ＭＳ ゴシック"/>
        <family val="3"/>
        <charset val="128"/>
      </rPr>
      <t>2</t>
    </r>
    <r>
      <rPr>
        <sz val="10"/>
        <rFont val="ＭＳ ゴシック"/>
        <family val="3"/>
        <charset val="128"/>
      </rPr>
      <t>／Ｄt</t>
    </r>
    <r>
      <rPr>
        <vertAlign val="subscript"/>
        <sz val="10"/>
        <rFont val="ＭＳ ゴシック"/>
        <family val="3"/>
        <charset val="128"/>
      </rPr>
      <t>2</t>
    </r>
    <phoneticPr fontId="2"/>
  </si>
  <si>
    <t>・一部材当り質量</t>
    <phoneticPr fontId="2"/>
  </si>
  <si>
    <r>
      <t>a</t>
    </r>
    <r>
      <rPr>
        <vertAlign val="subscript"/>
        <sz val="10"/>
        <rFont val="ＭＳ ゴシック"/>
        <family val="3"/>
        <charset val="128"/>
      </rPr>
      <t>1</t>
    </r>
    <r>
      <rPr>
        <sz val="10"/>
        <rFont val="ＭＳ ゴシック"/>
        <family val="3"/>
        <charset val="128"/>
      </rPr>
      <t>＝</t>
    </r>
    <phoneticPr fontId="2"/>
  </si>
  <si>
    <t>Ｄw＝</t>
    <phoneticPr fontId="2"/>
  </si>
  <si>
    <r>
      <t>Ｗ／｛0.24a</t>
    </r>
    <r>
      <rPr>
        <vertAlign val="subscript"/>
        <sz val="10"/>
        <rFont val="ＭＳ ゴシック"/>
        <family val="3"/>
        <charset val="128"/>
      </rPr>
      <t>1</t>
    </r>
    <r>
      <rPr>
        <sz val="10"/>
        <rFont val="ＭＳ ゴシック"/>
        <family val="3"/>
        <charset val="128"/>
      </rPr>
      <t>（ｎ＋12）｝</t>
    </r>
    <phoneticPr fontId="2"/>
  </si>
  <si>
    <t>≦</t>
    <phoneticPr fontId="2"/>
  </si>
  <si>
    <t>／｛</t>
    <phoneticPr fontId="2"/>
  </si>
  <si>
    <t>橋長＋手延機＋連結構</t>
    <phoneticPr fontId="2"/>
  </si>
  <si>
    <t>Ｈ＝</t>
    <phoneticPr fontId="2"/>
  </si>
  <si>
    <t>×</t>
    <phoneticPr fontId="2"/>
  </si>
  <si>
    <t>ｍ</t>
    <phoneticPr fontId="2"/>
  </si>
  <si>
    <t>／</t>
    <phoneticPr fontId="2"/>
  </si>
  <si>
    <r>
      <t>Ｗ／｛0.27a</t>
    </r>
    <r>
      <rPr>
        <vertAlign val="subscript"/>
        <sz val="10"/>
        <rFont val="ＭＳ ゴシック"/>
        <family val="3"/>
        <charset val="128"/>
      </rPr>
      <t>1</t>
    </r>
    <r>
      <rPr>
        <sz val="10"/>
        <rFont val="ＭＳ ゴシック"/>
        <family val="3"/>
        <charset val="128"/>
      </rPr>
      <t>（ｎ＋11）｝</t>
    </r>
    <phoneticPr fontId="2"/>
  </si>
  <si>
    <t>ただし</t>
    <phoneticPr fontId="2"/>
  </si>
  <si>
    <t>／｛</t>
    <phoneticPr fontId="2"/>
  </si>
  <si>
    <t>Ｌw＝</t>
    <phoneticPr fontId="2"/>
  </si>
  <si>
    <r>
      <t>α</t>
    </r>
    <r>
      <rPr>
        <vertAlign val="subscript"/>
        <sz val="10"/>
        <rFont val="ＭＳ ゴシック"/>
        <family val="3"/>
        <charset val="128"/>
      </rPr>
      <t>1</t>
    </r>
    <r>
      <rPr>
        <sz val="10"/>
        <rFont val="ＭＳ ゴシック"/>
        <family val="3"/>
        <charset val="128"/>
      </rPr>
      <t>＝</t>
    </r>
    <phoneticPr fontId="2"/>
  </si>
  <si>
    <t>Lw^0.1221</t>
    <phoneticPr fontId="2"/>
  </si>
  <si>
    <t>Ｎ＝</t>
    <phoneticPr fontId="2"/>
  </si>
  <si>
    <t>∴ｔ＝</t>
    <phoneticPr fontId="2"/>
  </si>
  <si>
    <t>-0.0044×t+1.132</t>
    <phoneticPr fontId="2"/>
  </si>
  <si>
    <t xml:space="preserve">＝ </t>
    <phoneticPr fontId="2"/>
  </si>
  <si>
    <t>Ｌw／ｙ</t>
    <phoneticPr fontId="2"/>
  </si>
  <si>
    <t>Ｎ／Ｄj</t>
    <phoneticPr fontId="2"/>
  </si>
  <si>
    <t>／</t>
    <phoneticPr fontId="2"/>
  </si>
  <si>
    <t>＝</t>
    <phoneticPr fontId="2"/>
  </si>
  <si>
    <t>（トラッククレーン）</t>
    <phoneticPr fontId="2"/>
  </si>
  <si>
    <t>（ケーブルクレーン）</t>
    <phoneticPr fontId="2"/>
  </si>
  <si>
    <t>・日当り施工量（ゴム支承使用）</t>
    <phoneticPr fontId="6"/>
  </si>
  <si>
    <t>Ｄn＝</t>
    <phoneticPr fontId="2"/>
  </si>
  <si>
    <t>×</t>
    <phoneticPr fontId="2"/>
  </si>
  <si>
    <t>／（</t>
    <phoneticPr fontId="2"/>
  </si>
  <si>
    <t>Ｄq＝</t>
    <phoneticPr fontId="2"/>
  </si>
  <si>
    <t>Ｑ／（0.41Ｑ／1000＋2.13）</t>
    <phoneticPr fontId="2"/>
  </si>
  <si>
    <t>Ｑ／Ｄq</t>
    <phoneticPr fontId="2"/>
  </si>
  <si>
    <t>・作業編成人員は５人／組とする。</t>
    <phoneticPr fontId="2"/>
  </si>
  <si>
    <t>Ａ</t>
    <phoneticPr fontId="2"/>
  </si>
  <si>
    <t>ヤード幅×ヤード長</t>
    <phoneticPr fontId="2"/>
  </si>
  <si>
    <r>
      <t>ｍ</t>
    </r>
    <r>
      <rPr>
        <vertAlign val="superscript"/>
        <sz val="10"/>
        <rFont val="ＭＳ ゴシック"/>
        <family val="3"/>
        <charset val="128"/>
      </rPr>
      <t>2</t>
    </r>
    <phoneticPr fontId="2"/>
  </si>
  <si>
    <t>Ｈ（ｍ）</t>
    <phoneticPr fontId="2"/>
  </si>
  <si>
    <t>H</t>
    <phoneticPr fontId="2"/>
  </si>
  <si>
    <t>+</t>
    <phoneticPr fontId="2"/>
  </si>
  <si>
    <t>H</t>
    <phoneticPr fontId="2"/>
  </si>
  <si>
    <t>+</t>
    <phoneticPr fontId="2"/>
  </si>
  <si>
    <t>外面</t>
    <phoneticPr fontId="2"/>
  </si>
  <si>
    <t>・所要日数</t>
    <phoneticPr fontId="2"/>
  </si>
  <si>
    <t>ｙ＝</t>
    <phoneticPr fontId="2"/>
  </si>
  <si>
    <t>ｍ×</t>
    <phoneticPr fontId="2"/>
  </si>
  <si>
    <t>ｙ</t>
    <phoneticPr fontId="2"/>
  </si>
  <si>
    <t>ｄ＝</t>
    <phoneticPr fontId="1"/>
  </si>
  <si>
    <r>
      <t>日/ｍ</t>
    </r>
    <r>
      <rPr>
        <vertAlign val="superscript"/>
        <sz val="10"/>
        <rFont val="ＭＳ ゴシック"/>
        <family val="3"/>
        <charset val="128"/>
      </rPr>
      <t>2</t>
    </r>
    <phoneticPr fontId="1"/>
  </si>
  <si>
    <t>×</t>
    <phoneticPr fontId="1"/>
  </si>
  <si>
    <t>×</t>
    <phoneticPr fontId="1"/>
  </si>
  <si>
    <t>＝</t>
    <phoneticPr fontId="1"/>
  </si>
  <si>
    <t>Ｌ＝</t>
    <phoneticPr fontId="1"/>
  </si>
  <si>
    <t>＝</t>
    <phoneticPr fontId="1"/>
  </si>
  <si>
    <t>Ｌ＝</t>
    <phoneticPr fontId="1"/>
  </si>
  <si>
    <t>９．トラッククレーンの機種選定</t>
    <phoneticPr fontId="6"/>
  </si>
  <si>
    <t>（１）架設用クレーン</t>
    <phoneticPr fontId="1"/>
  </si>
  <si>
    <t>１）作業半径（Ｒ）</t>
    <phoneticPr fontId="1"/>
  </si>
  <si>
    <t>設備高</t>
    <phoneticPr fontId="6"/>
  </si>
  <si>
    <t>桁高</t>
    <phoneticPr fontId="1"/>
  </si>
  <si>
    <t>（設備高 ＝ 降下量 － 桁高）</t>
  </si>
  <si>
    <t>ｍ</t>
    <phoneticPr fontId="1"/>
  </si>
  <si>
    <t>（クレーン機種選定時の吊上げ高さ）</t>
    <rPh sb="5" eb="7">
      <t>キシュ</t>
    </rPh>
    <rPh sb="7" eb="9">
      <t>センテイ</t>
    </rPh>
    <rPh sb="9" eb="10">
      <t>ジ</t>
    </rPh>
    <rPh sb="11" eb="12">
      <t>ツ</t>
    </rPh>
    <rPh sb="12" eb="13">
      <t>ア</t>
    </rPh>
    <rPh sb="14" eb="15">
      <t>タカ</t>
    </rPh>
    <phoneticPr fontId="1"/>
  </si>
  <si>
    <t>θ＝</t>
  </si>
  <si>
    <r>
      <t>tan</t>
    </r>
    <r>
      <rPr>
        <vertAlign val="superscript"/>
        <sz val="10"/>
        <rFont val="ＭＳ ゴシック"/>
        <family val="3"/>
        <charset val="128"/>
      </rPr>
      <t>-1</t>
    </r>
    <phoneticPr fontId="1"/>
  </si>
  <si>
    <r>
      <t>tan</t>
    </r>
    <r>
      <rPr>
        <vertAlign val="superscript"/>
        <sz val="10"/>
        <rFont val="ＭＳ ゴシック"/>
        <family val="3"/>
        <charset val="128"/>
      </rPr>
      <t>-1</t>
    </r>
    <phoneticPr fontId="1"/>
  </si>
  <si>
    <t>°</t>
    <phoneticPr fontId="1"/>
  </si>
  <si>
    <t>1.5＋Ｂ／2</t>
    <phoneticPr fontId="1"/>
  </si>
  <si>
    <t>＋（</t>
    <phoneticPr fontId="2"/>
  </si>
  <si>
    <t>／</t>
    <phoneticPr fontId="1"/>
  </si>
  <si>
    <t>）</t>
    <phoneticPr fontId="1"/>
  </si>
  <si>
    <t>Ｂ：</t>
    <phoneticPr fontId="1"/>
  </si>
  <si>
    <t>部材幅（ｍ）</t>
    <rPh sb="0" eb="2">
      <t>ブザイ</t>
    </rPh>
    <rPh sb="2" eb="3">
      <t>ハバ</t>
    </rPh>
    <phoneticPr fontId="1"/>
  </si>
  <si>
    <t>∴θ＝</t>
    <phoneticPr fontId="1"/>
  </si>
  <si>
    <t>Ｒ＝</t>
  </si>
  <si>
    <t>－1.0＋（Ｈ＋8）cotθ＋Ｗ</t>
    <phoneticPr fontId="1"/>
  </si>
  <si>
    <t>Ｗ：</t>
    <phoneticPr fontId="1"/>
  </si>
  <si>
    <t>外桁間距離</t>
    <rPh sb="0" eb="1">
      <t>ソト</t>
    </rPh>
    <rPh sb="1" eb="2">
      <t>ケタ</t>
    </rPh>
    <rPh sb="2" eb="3">
      <t>カン</t>
    </rPh>
    <rPh sb="3" eb="5">
      <t>キョリ</t>
    </rPh>
    <phoneticPr fontId="1"/>
  </si>
  <si>
    <t>ｍ</t>
    <phoneticPr fontId="1"/>
  </si>
  <si>
    <t>)×</t>
  </si>
  <si>
    <t>cot</t>
  </si>
  <si>
    <t>°＋</t>
    <phoneticPr fontId="1"/>
  </si>
  <si>
    <t>→</t>
    <phoneticPr fontId="1"/>
  </si>
  <si>
    <t>∴Ｒ＝</t>
    <phoneticPr fontId="1"/>
  </si>
  <si>
    <t>２）トラッククレーン</t>
    <phoneticPr fontId="1"/>
  </si>
  <si>
    <t>Ｐ＝</t>
  </si>
  <si>
    <t>主桁部材質量＋吊具</t>
    <rPh sb="0" eb="1">
      <t>シュ</t>
    </rPh>
    <rPh sb="2" eb="4">
      <t>ブザイ</t>
    </rPh>
    <rPh sb="4" eb="6">
      <t>シツリョウ</t>
    </rPh>
    <phoneticPr fontId="1"/>
  </si>
  <si>
    <t>＋</t>
    <phoneticPr fontId="1"/>
  </si>
  <si>
    <t>ｔ</t>
    <phoneticPr fontId="1"/>
  </si>
  <si>
    <t xml:space="preserve">（主桁部材質量 ＝ 主桁質量／部材数 ＝ </t>
    <rPh sb="1" eb="2">
      <t>シュ</t>
    </rPh>
    <rPh sb="2" eb="3">
      <t>ケタ</t>
    </rPh>
    <rPh sb="3" eb="5">
      <t>ブザイ</t>
    </rPh>
    <rPh sb="5" eb="7">
      <t>シツリョウ</t>
    </rPh>
    <rPh sb="10" eb="11">
      <t>シュ</t>
    </rPh>
    <rPh sb="11" eb="12">
      <t>ケタ</t>
    </rPh>
    <rPh sb="12" eb="14">
      <t>シツリョウ</t>
    </rPh>
    <rPh sb="15" eb="17">
      <t>ブザイ</t>
    </rPh>
    <rPh sb="17" eb="18">
      <t>スウ</t>
    </rPh>
    <phoneticPr fontId="1"/>
  </si>
  <si>
    <t>「橋梁架設工事の積算　令和2年度版」</t>
    <rPh sb="11" eb="13">
      <t>レイワ</t>
    </rPh>
    <rPh sb="16" eb="17">
      <t>バン</t>
    </rPh>
    <phoneticPr fontId="1"/>
  </si>
  <si>
    <t>より</t>
    <phoneticPr fontId="1"/>
  </si>
  <si>
    <t>（２）手延機、連結構組立用クレーン</t>
    <rPh sb="3" eb="6">
      <t>テノベキ</t>
    </rPh>
    <rPh sb="7" eb="9">
      <t>レンケツ</t>
    </rPh>
    <rPh sb="9" eb="10">
      <t>コウ</t>
    </rPh>
    <rPh sb="10" eb="12">
      <t>クミタテ</t>
    </rPh>
    <phoneticPr fontId="1"/>
  </si>
  <si>
    <t>１）作業半径（Ｒ）</t>
    <phoneticPr fontId="1"/>
  </si>
  <si>
    <t>（桁架設と同様）</t>
    <rPh sb="1" eb="2">
      <t>ケタ</t>
    </rPh>
    <rPh sb="2" eb="4">
      <t>カセツ</t>
    </rPh>
    <rPh sb="5" eb="7">
      <t>ドウヨウ</t>
    </rPh>
    <phoneticPr fontId="1"/>
  </si>
  <si>
    <t>Ｒ＝</t>
    <phoneticPr fontId="1"/>
  </si>
  <si>
    <t>連結構質量＋吊具</t>
    <rPh sb="0" eb="2">
      <t>レンケツ</t>
    </rPh>
    <rPh sb="2" eb="3">
      <t>ガマエ</t>
    </rPh>
    <rPh sb="3" eb="5">
      <t>シツリョウ</t>
    </rPh>
    <phoneticPr fontId="1"/>
  </si>
  <si>
    <t>（３）ケーブルクレーン設備組立用クレーン</t>
    <rPh sb="11" eb="13">
      <t>セツビ</t>
    </rPh>
    <rPh sb="13" eb="16">
      <t>クミタテヨウ</t>
    </rPh>
    <phoneticPr fontId="1"/>
  </si>
  <si>
    <t>ベント高</t>
  </si>
  <si>
    <t>鉄塔高</t>
    <rPh sb="0" eb="2">
      <t>テットウ</t>
    </rPh>
    <rPh sb="2" eb="3">
      <t>タカ</t>
    </rPh>
    <phoneticPr fontId="1"/>
  </si>
  <si>
    <t>＋（</t>
    <phoneticPr fontId="2"/>
  </si>
  <si>
    <t>鉄塔間距離</t>
    <rPh sb="0" eb="2">
      <t>テットウ</t>
    </rPh>
    <rPh sb="2" eb="3">
      <t>カン</t>
    </rPh>
    <rPh sb="3" eb="5">
      <t>キョリ</t>
    </rPh>
    <phoneticPr fontId="1"/>
  </si>
  <si>
    <t>°＋</t>
    <phoneticPr fontId="1"/>
  </si>
  <si>
    <t>鉄塔質量＋吊具</t>
    <rPh sb="0" eb="2">
      <t>テットウ</t>
    </rPh>
    <rPh sb="2" eb="4">
      <t>シツリョウ</t>
    </rPh>
    <phoneticPr fontId="1"/>
  </si>
  <si>
    <t>「橋梁架設工事の積算　令和2年度版」</t>
    <rPh sb="16" eb="17">
      <t>バン</t>
    </rPh>
    <phoneticPr fontId="1"/>
  </si>
  <si>
    <t>（４）溶接用ケーシング設備用クレーン</t>
    <phoneticPr fontId="1"/>
  </si>
  <si>
    <t>ベント高さ</t>
    <rPh sb="3" eb="4">
      <t>タカ</t>
    </rPh>
    <phoneticPr fontId="1"/>
  </si>
  <si>
    <t>Ｈ＝</t>
    <phoneticPr fontId="1"/>
  </si>
  <si>
    <t>（ベント使用せず）</t>
  </si>
  <si>
    <t>（５）合成床版架設用クレーン</t>
    <phoneticPr fontId="1"/>
  </si>
  <si>
    <t>１０．所用日数の一覧表</t>
  </si>
  <si>
    <t>名        称</t>
    <rPh sb="0" eb="1">
      <t>ナ</t>
    </rPh>
    <rPh sb="9" eb="10">
      <t>ショウ</t>
    </rPh>
    <phoneticPr fontId="6"/>
  </si>
  <si>
    <t>内　　訳</t>
    <rPh sb="0" eb="1">
      <t>ウチ</t>
    </rPh>
    <rPh sb="3" eb="4">
      <t>ヤク</t>
    </rPh>
    <phoneticPr fontId="6"/>
  </si>
  <si>
    <t>積算日数</t>
    <rPh sb="0" eb="2">
      <t>セキサン</t>
    </rPh>
    <rPh sb="2" eb="4">
      <t>ニッスウ</t>
    </rPh>
    <phoneticPr fontId="6"/>
  </si>
  <si>
    <t>ﾊﾟｰﾃｨｰ数</t>
    <rPh sb="6" eb="7">
      <t>スウ</t>
    </rPh>
    <phoneticPr fontId="6"/>
  </si>
  <si>
    <t>供用日数</t>
    <rPh sb="0" eb="2">
      <t>キョウヨウ</t>
    </rPh>
    <rPh sb="2" eb="4">
      <t>ニッスウ</t>
    </rPh>
    <phoneticPr fontId="6"/>
  </si>
  <si>
    <t>ﾍﾞﾝﾄ基礎
ﾍﾞﾝﾄ設備</t>
    <rPh sb="4" eb="6">
      <t>キソ</t>
    </rPh>
    <rPh sb="11" eb="13">
      <t>セツビ</t>
    </rPh>
    <phoneticPr fontId="6"/>
  </si>
  <si>
    <t>軌条桁</t>
    <rPh sb="0" eb="2">
      <t>キジョウ</t>
    </rPh>
    <rPh sb="2" eb="3">
      <t>ケタ</t>
    </rPh>
    <phoneticPr fontId="6"/>
  </si>
  <si>
    <t>軌条設備</t>
    <rPh sb="0" eb="1">
      <t>キ</t>
    </rPh>
    <rPh sb="1" eb="2">
      <t>ジョウ</t>
    </rPh>
    <rPh sb="2" eb="4">
      <t>セツビ</t>
    </rPh>
    <phoneticPr fontId="6"/>
  </si>
  <si>
    <t>手延機
連結構</t>
    <rPh sb="0" eb="1">
      <t>テ</t>
    </rPh>
    <rPh sb="1" eb="2">
      <t>エン</t>
    </rPh>
    <rPh sb="2" eb="3">
      <t>キ</t>
    </rPh>
    <rPh sb="4" eb="6">
      <t>レンケツ</t>
    </rPh>
    <rPh sb="6" eb="7">
      <t>コウ</t>
    </rPh>
    <phoneticPr fontId="6"/>
  </si>
  <si>
    <t>台車設備</t>
    <rPh sb="0" eb="2">
      <t>ダイシャ</t>
    </rPh>
    <rPh sb="2" eb="4">
      <t>セツビ</t>
    </rPh>
    <phoneticPr fontId="6"/>
  </si>
  <si>
    <t>第1橋脚
送出し
装置</t>
    <rPh sb="0" eb="1">
      <t>ダイ</t>
    </rPh>
    <rPh sb="2" eb="4">
      <t>キョウキャク</t>
    </rPh>
    <rPh sb="5" eb="7">
      <t>オクリダ</t>
    </rPh>
    <rPh sb="9" eb="11">
      <t>ソウチ</t>
    </rPh>
    <phoneticPr fontId="6"/>
  </si>
  <si>
    <t>第2橋脚
送出し
装置</t>
    <rPh sb="0" eb="1">
      <t>ダイ</t>
    </rPh>
    <rPh sb="2" eb="4">
      <t>キョウキャク</t>
    </rPh>
    <rPh sb="5" eb="7">
      <t>オクリダ</t>
    </rPh>
    <rPh sb="9" eb="11">
      <t>ソウチ</t>
    </rPh>
    <phoneticPr fontId="6"/>
  </si>
  <si>
    <t>第3橋脚
送出し
装置</t>
    <rPh sb="0" eb="1">
      <t>ダイ</t>
    </rPh>
    <rPh sb="2" eb="4">
      <t>キョウキャク</t>
    </rPh>
    <rPh sb="5" eb="7">
      <t>オクリダ</t>
    </rPh>
    <rPh sb="9" eb="11">
      <t>ソウチ</t>
    </rPh>
    <phoneticPr fontId="6"/>
  </si>
  <si>
    <t>第4橋脚
送出し
装置</t>
    <rPh sb="0" eb="1">
      <t>ダイ</t>
    </rPh>
    <rPh sb="2" eb="4">
      <t>キョウキャク</t>
    </rPh>
    <rPh sb="5" eb="7">
      <t>オクリダ</t>
    </rPh>
    <rPh sb="9" eb="11">
      <t>ソウチ</t>
    </rPh>
    <phoneticPr fontId="6"/>
  </si>
  <si>
    <t>第5橋脚
送出し
装置</t>
    <rPh sb="0" eb="1">
      <t>ダイ</t>
    </rPh>
    <rPh sb="2" eb="4">
      <t>キョウキャク</t>
    </rPh>
    <rPh sb="5" eb="7">
      <t>オクリダ</t>
    </rPh>
    <rPh sb="9" eb="11">
      <t>ソウチ</t>
    </rPh>
    <phoneticPr fontId="6"/>
  </si>
  <si>
    <t>第6橋脚
送出し
装置</t>
    <rPh sb="0" eb="1">
      <t>ダイ</t>
    </rPh>
    <rPh sb="2" eb="4">
      <t>キョウキャク</t>
    </rPh>
    <rPh sb="5" eb="7">
      <t>オクリダ</t>
    </rPh>
    <rPh sb="9" eb="11">
      <t>ソウチ</t>
    </rPh>
    <phoneticPr fontId="6"/>
  </si>
  <si>
    <t>第7橋脚
送出し
装置</t>
    <rPh sb="0" eb="1">
      <t>ダイ</t>
    </rPh>
    <rPh sb="2" eb="4">
      <t>キョウキャク</t>
    </rPh>
    <rPh sb="5" eb="7">
      <t>オクリダ</t>
    </rPh>
    <rPh sb="9" eb="11">
      <t>ソウチ</t>
    </rPh>
    <phoneticPr fontId="6"/>
  </si>
  <si>
    <t>第8橋脚
送出し
装置</t>
    <rPh sb="0" eb="1">
      <t>ダイ</t>
    </rPh>
    <rPh sb="2" eb="4">
      <t>キョウキャク</t>
    </rPh>
    <rPh sb="5" eb="7">
      <t>オクリダ</t>
    </rPh>
    <rPh sb="9" eb="11">
      <t>ソウチ</t>
    </rPh>
    <phoneticPr fontId="6"/>
  </si>
  <si>
    <t>第9橋脚
送出し
装置</t>
    <rPh sb="0" eb="1">
      <t>ダイ</t>
    </rPh>
    <rPh sb="2" eb="4">
      <t>キョウキャク</t>
    </rPh>
    <rPh sb="5" eb="7">
      <t>オクリダ</t>
    </rPh>
    <rPh sb="9" eb="11">
      <t>ソウチ</t>
    </rPh>
    <phoneticPr fontId="6"/>
  </si>
  <si>
    <t>第10橋脚
送出し
装置</t>
    <rPh sb="0" eb="1">
      <t>ダイ</t>
    </rPh>
    <rPh sb="3" eb="5">
      <t>キョウキャク</t>
    </rPh>
    <rPh sb="6" eb="8">
      <t>オクリダ</t>
    </rPh>
    <rPh sb="10" eb="12">
      <t>ソウチ</t>
    </rPh>
    <phoneticPr fontId="6"/>
  </si>
  <si>
    <t>第11橋脚
送出し
装置</t>
    <rPh sb="0" eb="1">
      <t>ダイ</t>
    </rPh>
    <rPh sb="3" eb="5">
      <t>キョウキャク</t>
    </rPh>
    <rPh sb="6" eb="8">
      <t>オクリダ</t>
    </rPh>
    <rPh sb="10" eb="12">
      <t>ソウチ</t>
    </rPh>
    <phoneticPr fontId="6"/>
  </si>
  <si>
    <t>ｹｰﾌﾞﾙ
ｸﾚｰﾝ設備</t>
    <rPh sb="10" eb="12">
      <t>セツビ</t>
    </rPh>
    <phoneticPr fontId="6"/>
  </si>
  <si>
    <t>横取り
設備</t>
    <rPh sb="0" eb="2">
      <t>ヨコド</t>
    </rPh>
    <rPh sb="4" eb="6">
      <t>セツビ</t>
    </rPh>
    <phoneticPr fontId="6"/>
  </si>
  <si>
    <t>降下設備</t>
    <rPh sb="0" eb="2">
      <t>コウカ</t>
    </rPh>
    <rPh sb="2" eb="4">
      <t>セツビ</t>
    </rPh>
    <phoneticPr fontId="6"/>
  </si>
  <si>
    <t>ﾄﾞﾘﾌﾄﾋﾟﾝ
仮締め
ﾎﾞﾙﾄ</t>
    <rPh sb="8" eb="10">
      <t>シメ</t>
    </rPh>
    <rPh sb="10" eb="11">
      <t xml:space="preserve">
</t>
    </rPh>
    <phoneticPr fontId="6"/>
  </si>
  <si>
    <t>主体足場</t>
    <rPh sb="0" eb="2">
      <t>シュタイ</t>
    </rPh>
    <rPh sb="2" eb="4">
      <t>アシバ</t>
    </rPh>
    <phoneticPr fontId="6"/>
  </si>
  <si>
    <t>安全足場
部分作業床</t>
    <rPh sb="0" eb="2">
      <t>アンゼン</t>
    </rPh>
    <rPh sb="2" eb="4">
      <t>アシバ</t>
    </rPh>
    <rPh sb="5" eb="7">
      <t>ブブン</t>
    </rPh>
    <rPh sb="7" eb="9">
      <t>サギョウ</t>
    </rPh>
    <rPh sb="9" eb="10">
      <t>ユカ</t>
    </rPh>
    <phoneticPr fontId="6"/>
  </si>
  <si>
    <t>登り桟橋</t>
    <rPh sb="0" eb="1">
      <t>ノボ</t>
    </rPh>
    <rPh sb="2" eb="4">
      <t>サンバシ</t>
    </rPh>
    <phoneticPr fontId="6"/>
  </si>
  <si>
    <t>足場工
(送り出しﾔｰﾄﾞ)</t>
    <rPh sb="0" eb="2">
      <t>アシバ</t>
    </rPh>
    <rPh sb="2" eb="3">
      <t>コウ</t>
    </rPh>
    <rPh sb="5" eb="6">
      <t>オク</t>
    </rPh>
    <rPh sb="7" eb="8">
      <t>ダ</t>
    </rPh>
    <phoneticPr fontId="6"/>
  </si>
  <si>
    <t>溶接用
架台設備</t>
    <rPh sb="0" eb="2">
      <t>ヨウセツ</t>
    </rPh>
    <rPh sb="2" eb="3">
      <t>ヨウ</t>
    </rPh>
    <rPh sb="4" eb="6">
      <t>カダイ</t>
    </rPh>
    <rPh sb="6" eb="8">
      <t>セツビ</t>
    </rPh>
    <phoneticPr fontId="6"/>
  </si>
  <si>
    <t>溶接用
ｹｰｼﾝｸﾞ
設備</t>
    <rPh sb="0" eb="3">
      <t>ヨウセツヨウ</t>
    </rPh>
    <rPh sb="11" eb="13">
      <t>セツビ</t>
    </rPh>
    <phoneticPr fontId="6"/>
  </si>
  <si>
    <t>Ａ 送出しヤード工</t>
    <phoneticPr fontId="6"/>
  </si>
  <si>
    <t>基礎砕石工</t>
    <phoneticPr fontId="6"/>
  </si>
  <si>
    <t>ベント基礎工</t>
    <phoneticPr fontId="6"/>
  </si>
  <si>
    <t>ベント設備工</t>
    <phoneticPr fontId="6"/>
  </si>
  <si>
    <t>軌条桁工</t>
    <phoneticPr fontId="6"/>
  </si>
  <si>
    <t>軌条設備工</t>
    <phoneticPr fontId="6"/>
  </si>
  <si>
    <t>Ｂ 送出し設備工</t>
    <phoneticPr fontId="6"/>
  </si>
  <si>
    <t>手延機・連結構</t>
    <phoneticPr fontId="6"/>
  </si>
  <si>
    <t>台車設備</t>
    <phoneticPr fontId="6"/>
  </si>
  <si>
    <t>送出し装置設備</t>
    <phoneticPr fontId="6"/>
  </si>
  <si>
    <t>Ｃ 横取り・降下設備工</t>
    <phoneticPr fontId="6"/>
  </si>
  <si>
    <t>横取り設備</t>
    <rPh sb="0" eb="2">
      <t>ヨコド</t>
    </rPh>
    <rPh sb="3" eb="5">
      <t>セツビ</t>
    </rPh>
    <phoneticPr fontId="6"/>
  </si>
  <si>
    <t>降下設備</t>
    <phoneticPr fontId="6"/>
  </si>
  <si>
    <t>Ｄ ケーブルクレーン設備工</t>
    <phoneticPr fontId="6"/>
  </si>
  <si>
    <t>Ｅ 溶接用架台設備工</t>
    <phoneticPr fontId="6"/>
  </si>
  <si>
    <t>Ｆ 桁架設工</t>
    <phoneticPr fontId="6"/>
  </si>
  <si>
    <t>主桁組立工</t>
    <phoneticPr fontId="6"/>
  </si>
  <si>
    <t>主桁送出し工</t>
    <phoneticPr fontId="6"/>
  </si>
  <si>
    <t>主桁降下工</t>
    <phoneticPr fontId="6"/>
  </si>
  <si>
    <t>主桁横取り工</t>
    <phoneticPr fontId="6"/>
  </si>
  <si>
    <t>横桁組立工</t>
    <phoneticPr fontId="6"/>
  </si>
  <si>
    <t>Ｇ 現場継手部溶接工</t>
    <phoneticPr fontId="6"/>
  </si>
  <si>
    <t>（検査考慮補正値）</t>
    <rPh sb="1" eb="3">
      <t>ケンサ</t>
    </rPh>
    <rPh sb="3" eb="5">
      <t>コウリョ</t>
    </rPh>
    <rPh sb="5" eb="7">
      <t>ホセイ</t>
    </rPh>
    <rPh sb="7" eb="8">
      <t>アタイ</t>
    </rPh>
    <phoneticPr fontId="6"/>
  </si>
  <si>
    <t>Ｈ 溶接用ケーシング設備工</t>
    <phoneticPr fontId="6"/>
  </si>
  <si>
    <t>Ｉ 支承据付工</t>
    <phoneticPr fontId="6"/>
  </si>
  <si>
    <t>Ｊ 高力ボルト本締工</t>
    <phoneticPr fontId="6"/>
  </si>
  <si>
    <t>Ｋ 落橋防止装置取付工</t>
    <phoneticPr fontId="6"/>
  </si>
  <si>
    <t>Ｌ 足場工</t>
    <phoneticPr fontId="6"/>
  </si>
  <si>
    <t>架設用足場</t>
    <phoneticPr fontId="6"/>
  </si>
  <si>
    <t>中段足場</t>
    <rPh sb="0" eb="2">
      <t>チュウダン</t>
    </rPh>
    <rPh sb="2" eb="4">
      <t>アシバ</t>
    </rPh>
    <phoneticPr fontId="6"/>
  </si>
  <si>
    <t>安全通路</t>
    <rPh sb="0" eb="2">
      <t>アンゼン</t>
    </rPh>
    <rPh sb="2" eb="4">
      <t>ツウロ</t>
    </rPh>
    <phoneticPr fontId="6"/>
  </si>
  <si>
    <t>部分作業床</t>
    <rPh sb="0" eb="2">
      <t>ブブン</t>
    </rPh>
    <rPh sb="2" eb="4">
      <t>サギョウ</t>
    </rPh>
    <rPh sb="4" eb="5">
      <t>ユカ</t>
    </rPh>
    <phoneticPr fontId="6"/>
  </si>
  <si>
    <t>架設用足場(送り出しヤード)</t>
    <rPh sb="6" eb="7">
      <t>オク</t>
    </rPh>
    <rPh sb="8" eb="9">
      <t>ダ</t>
    </rPh>
    <phoneticPr fontId="6"/>
  </si>
  <si>
    <t>登り桟橋</t>
    <phoneticPr fontId="6"/>
  </si>
  <si>
    <t>継手部現場塗装工</t>
    <phoneticPr fontId="6"/>
  </si>
  <si>
    <t>Ｍ 桁端処理工</t>
    <phoneticPr fontId="6"/>
  </si>
  <si>
    <t>合成床版架設工</t>
    <phoneticPr fontId="6"/>
  </si>
  <si>
    <t>実日数</t>
    <rPh sb="0" eb="1">
      <t>ジツ</t>
    </rPh>
    <rPh sb="1" eb="3">
      <t>ニッスウ</t>
    </rPh>
    <phoneticPr fontId="6"/>
  </si>
  <si>
    <t>供用月数</t>
    <rPh sb="0" eb="2">
      <t>キョウヨウ</t>
    </rPh>
    <rPh sb="2" eb="3">
      <t>ツキ</t>
    </rPh>
    <rPh sb="3" eb="4">
      <t>スウ</t>
    </rPh>
    <phoneticPr fontId="6"/>
  </si>
  <si>
    <t>１１．直接工事費一覧表</t>
    <phoneticPr fontId="6"/>
  </si>
  <si>
    <t>送出し工法</t>
    <rPh sb="0" eb="2">
      <t>オクリダ</t>
    </rPh>
    <rPh sb="3" eb="5">
      <t>コウホウ</t>
    </rPh>
    <phoneticPr fontId="1"/>
  </si>
  <si>
    <t>直接工事費</t>
  </si>
  <si>
    <t>名        称</t>
    <rPh sb="0" eb="1">
      <t>ナマエ</t>
    </rPh>
    <rPh sb="9" eb="10">
      <t>ショウゴウ</t>
    </rPh>
    <phoneticPr fontId="6"/>
  </si>
  <si>
    <t>単位</t>
  </si>
  <si>
    <t>数量</t>
  </si>
  <si>
    <t>単   価</t>
  </si>
  <si>
    <t>金  額（円）</t>
  </si>
  <si>
    <t>備        考</t>
    <phoneticPr fontId="6"/>
  </si>
  <si>
    <t>送出しヤード工</t>
  </si>
  <si>
    <t>基礎砕石工</t>
    <rPh sb="0" eb="2">
      <t>キソ</t>
    </rPh>
    <rPh sb="2" eb="4">
      <t>サイセキ</t>
    </rPh>
    <rPh sb="4" eb="5">
      <t>コウ</t>
    </rPh>
    <phoneticPr fontId="6"/>
  </si>
  <si>
    <t>㎡</t>
    <phoneticPr fontId="6"/>
  </si>
  <si>
    <t>第１－1号内訳書参照</t>
  </si>
  <si>
    <t>ベント基礎工</t>
  </si>
  <si>
    <t>内訳書参照</t>
  </si>
  <si>
    <t>ベント設備工</t>
  </si>
  <si>
    <t>ｔ</t>
    <phoneticPr fontId="6"/>
  </si>
  <si>
    <t>軌 条 桁 工</t>
    <rPh sb="0" eb="1">
      <t>ワダチ</t>
    </rPh>
    <rPh sb="2" eb="3">
      <t>ジョウ</t>
    </rPh>
    <rPh sb="4" eb="5">
      <t>ケタ</t>
    </rPh>
    <rPh sb="6" eb="7">
      <t>コウ</t>
    </rPh>
    <phoneticPr fontId="6"/>
  </si>
  <si>
    <t>ｔ</t>
    <phoneticPr fontId="6"/>
  </si>
  <si>
    <t>第１－2号内訳書参照</t>
  </si>
  <si>
    <t>軌条設備工</t>
    <rPh sb="0" eb="2">
      <t>キジョウ</t>
    </rPh>
    <rPh sb="2" eb="4">
      <t>セツビ</t>
    </rPh>
    <rPh sb="4" eb="5">
      <t>コウ</t>
    </rPh>
    <phoneticPr fontId="6"/>
  </si>
  <si>
    <t>ｍ</t>
    <phoneticPr fontId="6"/>
  </si>
  <si>
    <t>第１－3号内訳書参照</t>
  </si>
  <si>
    <t>軌条敷鋼板基礎工</t>
    <rPh sb="0" eb="2">
      <t>キジョウ</t>
    </rPh>
    <rPh sb="2" eb="3">
      <t>シ</t>
    </rPh>
    <rPh sb="3" eb="5">
      <t>コウハン</t>
    </rPh>
    <rPh sb="5" eb="7">
      <t>キソ</t>
    </rPh>
    <rPh sb="7" eb="8">
      <t>コウ</t>
    </rPh>
    <phoneticPr fontId="6"/>
  </si>
  <si>
    <t>式</t>
    <phoneticPr fontId="6"/>
  </si>
  <si>
    <t>第１－4号内訳書参照</t>
  </si>
  <si>
    <t>送出し設備工</t>
    <rPh sb="0" eb="2">
      <t>オクリダ</t>
    </rPh>
    <rPh sb="3" eb="5">
      <t>セツビ</t>
    </rPh>
    <rPh sb="5" eb="6">
      <t>コウ</t>
    </rPh>
    <phoneticPr fontId="6"/>
  </si>
  <si>
    <t>手延機・連結構設備工</t>
    <rPh sb="0" eb="3">
      <t>テノベキ</t>
    </rPh>
    <rPh sb="4" eb="5">
      <t>レン</t>
    </rPh>
    <rPh sb="5" eb="7">
      <t>ケッコウ</t>
    </rPh>
    <rPh sb="7" eb="9">
      <t>セツビ</t>
    </rPh>
    <rPh sb="9" eb="10">
      <t>コウ</t>
    </rPh>
    <phoneticPr fontId="6"/>
  </si>
  <si>
    <t>第１－5号内訳書参照</t>
  </si>
  <si>
    <t>台車設備工</t>
    <rPh sb="0" eb="2">
      <t>ダイシャ</t>
    </rPh>
    <rPh sb="2" eb="4">
      <t>セツビ</t>
    </rPh>
    <rPh sb="4" eb="5">
      <t>コウ</t>
    </rPh>
    <phoneticPr fontId="6"/>
  </si>
  <si>
    <t>台</t>
    <phoneticPr fontId="6"/>
  </si>
  <si>
    <t>第１－6号内訳書参照</t>
  </si>
  <si>
    <t>送出し装置設備工</t>
    <rPh sb="0" eb="2">
      <t>オクリダ</t>
    </rPh>
    <rPh sb="3" eb="5">
      <t>ソウチ</t>
    </rPh>
    <rPh sb="5" eb="7">
      <t>セツビ</t>
    </rPh>
    <rPh sb="7" eb="8">
      <t>コウ</t>
    </rPh>
    <phoneticPr fontId="6"/>
  </si>
  <si>
    <t>組</t>
    <phoneticPr fontId="6"/>
  </si>
  <si>
    <t>第１－7号内訳書参照</t>
  </si>
  <si>
    <t>横取り・</t>
    <rPh sb="0" eb="2">
      <t>ヨコド</t>
    </rPh>
    <phoneticPr fontId="6"/>
  </si>
  <si>
    <t>横取り設備工</t>
    <rPh sb="0" eb="2">
      <t>ヨコド</t>
    </rPh>
    <rPh sb="3" eb="5">
      <t>セツビ</t>
    </rPh>
    <rPh sb="5" eb="6">
      <t>コウ</t>
    </rPh>
    <phoneticPr fontId="6"/>
  </si>
  <si>
    <t>降下設備工</t>
    <phoneticPr fontId="6"/>
  </si>
  <si>
    <t>ｔ</t>
    <phoneticPr fontId="6"/>
  </si>
  <si>
    <t>第１－8号内訳書参照</t>
  </si>
  <si>
    <t>ケーブルクレーン設備工</t>
    <rPh sb="8" eb="10">
      <t>セツビ</t>
    </rPh>
    <rPh sb="10" eb="11">
      <t>コウ</t>
    </rPh>
    <phoneticPr fontId="6"/>
  </si>
  <si>
    <t>第１－9号内訳書参照</t>
  </si>
  <si>
    <t>溶接用架台設備工</t>
    <rPh sb="0" eb="2">
      <t>ヨウセツ</t>
    </rPh>
    <rPh sb="2" eb="3">
      <t>ヨウ</t>
    </rPh>
    <rPh sb="3" eb="5">
      <t>カダイ</t>
    </rPh>
    <rPh sb="5" eb="7">
      <t>セツビ</t>
    </rPh>
    <rPh sb="7" eb="8">
      <t>コウ</t>
    </rPh>
    <phoneticPr fontId="6"/>
  </si>
  <si>
    <t>第１－10号内訳書参照</t>
  </si>
  <si>
    <t>桁架設工</t>
    <rPh sb="0" eb="1">
      <t>ケタ</t>
    </rPh>
    <rPh sb="1" eb="3">
      <t>カセツ</t>
    </rPh>
    <rPh sb="3" eb="4">
      <t>コウ</t>
    </rPh>
    <phoneticPr fontId="6"/>
  </si>
  <si>
    <t>主桁組立工</t>
    <rPh sb="0" eb="1">
      <t>シュ</t>
    </rPh>
    <rPh sb="1" eb="2">
      <t>ケタ</t>
    </rPh>
    <rPh sb="2" eb="4">
      <t>クミタテ</t>
    </rPh>
    <phoneticPr fontId="6"/>
  </si>
  <si>
    <t>第１－11号内訳書参照</t>
  </si>
  <si>
    <t>主桁送出し工</t>
    <rPh sb="0" eb="1">
      <t>シュ</t>
    </rPh>
    <rPh sb="2" eb="4">
      <t>オクリダ</t>
    </rPh>
    <phoneticPr fontId="6"/>
  </si>
  <si>
    <t>第１－12号内訳書参照</t>
  </si>
  <si>
    <t>主桁降下工</t>
    <rPh sb="0" eb="1">
      <t>シュ</t>
    </rPh>
    <rPh sb="2" eb="3">
      <t>ゴウ</t>
    </rPh>
    <rPh sb="3" eb="4">
      <t>シタ</t>
    </rPh>
    <rPh sb="4" eb="5">
      <t>コウ</t>
    </rPh>
    <phoneticPr fontId="6"/>
  </si>
  <si>
    <t>第１－13号内訳書参照</t>
  </si>
  <si>
    <t>主桁横取り工</t>
    <rPh sb="0" eb="1">
      <t>シュ</t>
    </rPh>
    <rPh sb="2" eb="4">
      <t>ヨコド</t>
    </rPh>
    <rPh sb="5" eb="6">
      <t>コウ</t>
    </rPh>
    <phoneticPr fontId="6"/>
  </si>
  <si>
    <t>回</t>
    <phoneticPr fontId="6"/>
  </si>
  <si>
    <t>横桁組立工</t>
    <rPh sb="0" eb="1">
      <t>ヨコ</t>
    </rPh>
    <rPh sb="2" eb="4">
      <t>クミタテ</t>
    </rPh>
    <rPh sb="4" eb="5">
      <t>コウ</t>
    </rPh>
    <phoneticPr fontId="6"/>
  </si>
  <si>
    <t>重機分解組立運搬費</t>
    <rPh sb="0" eb="2">
      <t>ジュウキ</t>
    </rPh>
    <rPh sb="2" eb="4">
      <t>ブンカイ</t>
    </rPh>
    <rPh sb="4" eb="6">
      <t>クミタテ</t>
    </rPh>
    <rPh sb="6" eb="8">
      <t>ウンパン</t>
    </rPh>
    <rPh sb="8" eb="9">
      <t>ヒ</t>
    </rPh>
    <phoneticPr fontId="6"/>
  </si>
  <si>
    <t>第１－14号内訳書参照</t>
  </si>
  <si>
    <t>現場継手部溶接工</t>
    <rPh sb="0" eb="2">
      <t>ゲンバ</t>
    </rPh>
    <rPh sb="2" eb="3">
      <t>ツギ</t>
    </rPh>
    <rPh sb="3" eb="4">
      <t>テ</t>
    </rPh>
    <rPh sb="4" eb="5">
      <t>ブ</t>
    </rPh>
    <rPh sb="5" eb="7">
      <t>ヨウセツ</t>
    </rPh>
    <rPh sb="7" eb="8">
      <t>コウ</t>
    </rPh>
    <phoneticPr fontId="6"/>
  </si>
  <si>
    <t>第１－15号内訳書参照</t>
  </si>
  <si>
    <t>溶接用ケーシング設備工</t>
    <rPh sb="0" eb="3">
      <t>ヨウセツヨウ</t>
    </rPh>
    <rPh sb="8" eb="10">
      <t>セツビ</t>
    </rPh>
    <rPh sb="10" eb="11">
      <t>コウ</t>
    </rPh>
    <phoneticPr fontId="6"/>
  </si>
  <si>
    <t>第１－16号内訳書参照</t>
  </si>
  <si>
    <t>支承据付工</t>
    <rPh sb="0" eb="2">
      <t>シショウ</t>
    </rPh>
    <phoneticPr fontId="6"/>
  </si>
  <si>
    <t>基</t>
    <phoneticPr fontId="6"/>
  </si>
  <si>
    <t>第１－17号内訳書参照</t>
  </si>
  <si>
    <t>高力ボルト本締工</t>
  </si>
  <si>
    <t>本</t>
    <phoneticPr fontId="6"/>
  </si>
  <si>
    <t>第１－18号内訳書参照</t>
  </si>
  <si>
    <t>落橋防止装置工</t>
  </si>
  <si>
    <t>第１－19号内訳書参照</t>
  </si>
  <si>
    <t>足　 場　 工</t>
  </si>
  <si>
    <t>㎡</t>
    <phoneticPr fontId="6"/>
  </si>
  <si>
    <t>第１－20号内訳書参照</t>
  </si>
  <si>
    <t>継手部現場塗装工</t>
  </si>
  <si>
    <t>桁端処理工</t>
    <rPh sb="0" eb="1">
      <t>ケタ</t>
    </rPh>
    <rPh sb="1" eb="2">
      <t>タン</t>
    </rPh>
    <rPh sb="2" eb="4">
      <t>ショリ</t>
    </rPh>
    <rPh sb="4" eb="5">
      <t>コウ</t>
    </rPh>
    <phoneticPr fontId="6"/>
  </si>
  <si>
    <t>第１－21号内訳書参照</t>
  </si>
  <si>
    <t>合成床版架設工</t>
    <rPh sb="0" eb="2">
      <t>ゴウセイ</t>
    </rPh>
    <rPh sb="2" eb="4">
      <t>ショウバン</t>
    </rPh>
    <rPh sb="4" eb="6">
      <t>カセツ</t>
    </rPh>
    <rPh sb="6" eb="7">
      <t>コウ</t>
    </rPh>
    <phoneticPr fontId="6"/>
  </si>
  <si>
    <t>現場溶接検査</t>
  </si>
  <si>
    <t>第１－２２号内訳書参照</t>
  </si>
  <si>
    <t>合　　　　計</t>
  </si>
  <si>
    <t>架設鋼重ｔ当り＝</t>
    <phoneticPr fontId="6"/>
  </si>
  <si>
    <t>÷</t>
  </si>
  <si>
    <t>ｔ＝</t>
  </si>
  <si>
    <t>千円／ｔ</t>
  </si>
  <si>
    <t>第１－1号　基礎砕石工内訳書</t>
  </si>
  <si>
    <t>項    目</t>
  </si>
  <si>
    <t>規　　格</t>
  </si>
  <si>
    <t>単　　価</t>
  </si>
  <si>
    <t>金　額（円）</t>
  </si>
  <si>
    <t>備　　　　　　　考</t>
  </si>
  <si>
    <t>労務費</t>
  </si>
  <si>
    <t>橋梁世話役</t>
  </si>
  <si>
    <t>（</t>
  </si>
  <si>
    <t>人）</t>
  </si>
  <si>
    <t>人</t>
  </si>
  <si>
    <t>日当り施工量＝</t>
    <rPh sb="0" eb="2">
      <t>ヒアタ</t>
    </rPh>
    <rPh sb="3" eb="5">
      <t>セコウ</t>
    </rPh>
    <rPh sb="5" eb="6">
      <t>リョウ</t>
    </rPh>
    <phoneticPr fontId="6"/>
  </si>
  <si>
    <r>
      <t>m</t>
    </r>
    <r>
      <rPr>
        <vertAlign val="superscript"/>
        <sz val="10"/>
        <rFont val="ＭＳ ゴシック"/>
        <family val="3"/>
        <charset val="128"/>
      </rPr>
      <t>2</t>
    </r>
    <r>
      <rPr>
        <sz val="10"/>
        <rFont val="ＭＳ ゴシック"/>
        <family val="3"/>
        <charset val="128"/>
      </rPr>
      <t>/日</t>
    </r>
    <phoneticPr fontId="6"/>
  </si>
  <si>
    <t>R2</t>
  </si>
  <si>
    <t>年度労務単価</t>
    <phoneticPr fontId="6"/>
  </si>
  <si>
    <t>橋梁特殊工</t>
  </si>
  <si>
    <t>〃</t>
  </si>
  <si>
    <t>普通作業員</t>
  </si>
  <si>
    <t>機械損料</t>
  </si>
  <si>
    <t>バックホウ運転</t>
    <rPh sb="5" eb="7">
      <t>ウンテン</t>
    </rPh>
    <phoneticPr fontId="6"/>
  </si>
  <si>
    <t>クローラ型</t>
    <rPh sb="4" eb="5">
      <t>ガタ</t>
    </rPh>
    <phoneticPr fontId="6"/>
  </si>
  <si>
    <r>
      <t>山積0.8m</t>
    </r>
    <r>
      <rPr>
        <vertAlign val="superscript"/>
        <sz val="10"/>
        <rFont val="ＭＳ ゴシック"/>
        <family val="3"/>
        <charset val="128"/>
      </rPr>
      <t>3</t>
    </r>
    <r>
      <rPr>
        <sz val="10"/>
        <rFont val="ＭＳ ゴシック"/>
        <family val="3"/>
        <charset val="128"/>
      </rPr>
      <t>(平積0.6m</t>
    </r>
    <r>
      <rPr>
        <vertAlign val="superscript"/>
        <sz val="10"/>
        <rFont val="ＭＳ ゴシック"/>
        <family val="3"/>
        <charset val="128"/>
      </rPr>
      <t>3</t>
    </r>
    <r>
      <rPr>
        <sz val="10"/>
        <rFont val="ＭＳ ゴシック"/>
        <family val="3"/>
        <charset val="128"/>
      </rPr>
      <t>)</t>
    </r>
    <rPh sb="8" eb="9">
      <t>ヒラ</t>
    </rPh>
    <rPh sb="9" eb="10">
      <t>ヅ</t>
    </rPh>
    <phoneticPr fontId="6"/>
  </si>
  <si>
    <t>材料費</t>
    <rPh sb="0" eb="3">
      <t>ザイリョウヒ</t>
    </rPh>
    <phoneticPr fontId="6"/>
  </si>
  <si>
    <t>砕石</t>
    <rPh sb="0" eb="2">
      <t>サイセキ</t>
    </rPh>
    <phoneticPr fontId="6"/>
  </si>
  <si>
    <r>
      <t>ｍ</t>
    </r>
    <r>
      <rPr>
        <vertAlign val="superscript"/>
        <sz val="10"/>
        <rFont val="ＭＳ ゴシック"/>
        <family val="3"/>
        <charset val="128"/>
      </rPr>
      <t>3</t>
    </r>
    <phoneticPr fontId="6"/>
  </si>
  <si>
    <t>×</t>
    <phoneticPr fontId="6"/>
  </si>
  <si>
    <t>諸雑費</t>
  </si>
  <si>
    <t>式</t>
  </si>
  <si>
    <t>労務費</t>
    <phoneticPr fontId="6"/>
  </si>
  <si>
    <t>％</t>
  </si>
  <si>
    <t>バックホウ運転１日当たり単価表</t>
    <rPh sb="5" eb="7">
      <t>ウンテン</t>
    </rPh>
    <rPh sb="8" eb="9">
      <t>ニチ</t>
    </rPh>
    <rPh sb="9" eb="10">
      <t>ア</t>
    </rPh>
    <rPh sb="12" eb="14">
      <t>タンカ</t>
    </rPh>
    <rPh sb="14" eb="15">
      <t>ヒョウ</t>
    </rPh>
    <phoneticPr fontId="6"/>
  </si>
  <si>
    <t>特殊運転手</t>
    <rPh sb="0" eb="2">
      <t>トクシュ</t>
    </rPh>
    <rPh sb="2" eb="5">
      <t>ウンテンシュ</t>
    </rPh>
    <phoneticPr fontId="6"/>
  </si>
  <si>
    <t>燃料費</t>
    <rPh sb="0" eb="3">
      <t>ネンリョウヒ</t>
    </rPh>
    <phoneticPr fontId="6"/>
  </si>
  <si>
    <t>Ｌ</t>
    <phoneticPr fontId="6"/>
  </si>
  <si>
    <t>バックホウ賃料</t>
    <rPh sb="5" eb="7">
      <t>チンリョウ</t>
    </rPh>
    <phoneticPr fontId="6"/>
  </si>
  <si>
    <t>所要日数＝</t>
  </si>
  <si>
    <t>トラッククレーン賃料</t>
    <phoneticPr fontId="6"/>
  </si>
  <si>
    <t>ラフテレーンクレーン</t>
    <phoneticPr fontId="6"/>
  </si>
  <si>
    <t>20ｔ吊り</t>
  </si>
  <si>
    <t>ベント基礎損料</t>
  </si>
  <si>
    <t>鋼板厚さ22mm</t>
    <rPh sb="0" eb="2">
      <t>コウハン</t>
    </rPh>
    <rPh sb="2" eb="3">
      <t>アツ</t>
    </rPh>
    <phoneticPr fontId="6"/>
  </si>
  <si>
    <t>ｔ×</t>
    <phoneticPr fontId="6"/>
  </si>
  <si>
    <t>円/ｔ・日</t>
    <rPh sb="0" eb="1">
      <t>エン</t>
    </rPh>
    <rPh sb="4" eb="5">
      <t>ニチ</t>
    </rPh>
    <phoneticPr fontId="6"/>
  </si>
  <si>
    <t>％</t>
    <phoneticPr fontId="6"/>
  </si>
  <si>
    <t>所要日数 ＝</t>
  </si>
  <si>
    <t>ベント設備損料</t>
  </si>
  <si>
    <t>＝</t>
    <phoneticPr fontId="6"/>
  </si>
  <si>
    <t>円/日</t>
    <rPh sb="0" eb="1">
      <t>エン</t>
    </rPh>
    <rPh sb="2" eb="3">
      <t>ニチ</t>
    </rPh>
    <phoneticPr fontId="6"/>
  </si>
  <si>
    <t>ベント用足場損料</t>
  </si>
  <si>
    <t>トラッククレーン賃料</t>
    <phoneticPr fontId="6"/>
  </si>
  <si>
    <t>架設工具損料</t>
  </si>
  <si>
    <t>日</t>
    <rPh sb="0" eb="1">
      <t>ニチ</t>
    </rPh>
    <phoneticPr fontId="6"/>
  </si>
  <si>
    <t>発動発電機損料</t>
  </si>
  <si>
    <t>125kVA</t>
    <phoneticPr fontId="6"/>
  </si>
  <si>
    <t>労務費</t>
    <phoneticPr fontId="6"/>
  </si>
  <si>
    <t>×</t>
    <phoneticPr fontId="6"/>
  </si>
  <si>
    <t>第１－2号　軌条桁工内訳書</t>
  </si>
  <si>
    <t>軌条桁損料</t>
    <rPh sb="0" eb="3">
      <t>キジョウケタ</t>
    </rPh>
    <phoneticPr fontId="6"/>
  </si>
  <si>
    <t>125kVA</t>
    <phoneticPr fontId="6"/>
  </si>
  <si>
    <t>第１－3号　軌条設備工内訳書</t>
  </si>
  <si>
    <t>軌条設備損料</t>
    <rPh sb="0" eb="2">
      <t>キジョウ</t>
    </rPh>
    <rPh sb="2" eb="4">
      <t>セツビ</t>
    </rPh>
    <rPh sb="4" eb="6">
      <t>ソンリョウ</t>
    </rPh>
    <phoneticPr fontId="6"/>
  </si>
  <si>
    <t>37kg/m</t>
    <phoneticPr fontId="6"/>
  </si>
  <si>
    <t>ｍ×</t>
    <phoneticPr fontId="6"/>
  </si>
  <si>
    <t>円/100m</t>
    <rPh sb="0" eb="1">
      <t>エン</t>
    </rPh>
    <phoneticPr fontId="6"/>
  </si>
  <si>
    <t>第１－4号　軌条敷鋼板基礎工内訳書　(参考)</t>
  </si>
  <si>
    <t>とび工</t>
    <rPh sb="2" eb="3">
      <t>コウ</t>
    </rPh>
    <phoneticPr fontId="6"/>
  </si>
  <si>
    <t>人×</t>
    <rPh sb="0" eb="1">
      <t>ニン</t>
    </rPh>
    <phoneticPr fontId="6"/>
  </si>
  <si>
    <t>枚×</t>
    <rPh sb="0" eb="1">
      <t>マイ</t>
    </rPh>
    <phoneticPr fontId="6"/>
  </si>
  <si>
    <t>㎡／枚／100㎡</t>
    <rPh sb="2" eb="3">
      <t>マイ</t>
    </rPh>
    <phoneticPr fontId="6"/>
  </si>
  <si>
    <t>普通作業員</t>
    <phoneticPr fontId="6"/>
  </si>
  <si>
    <t>鋼板損料</t>
    <rPh sb="0" eb="2">
      <t>コウハン</t>
    </rPh>
    <rPh sb="2" eb="4">
      <t>ソンリョウ</t>
    </rPh>
    <phoneticPr fontId="6"/>
  </si>
  <si>
    <t>1524×6096×22</t>
    <phoneticPr fontId="6"/>
  </si>
  <si>
    <t>枚</t>
    <rPh sb="0" eb="1">
      <t>マイ</t>
    </rPh>
    <phoneticPr fontId="6"/>
  </si>
  <si>
    <t>日×</t>
    <rPh sb="0" eb="1">
      <t>ニチ</t>
    </rPh>
    <phoneticPr fontId="6"/>
  </si>
  <si>
    <t>円／枚・日</t>
    <rPh sb="0" eb="1">
      <t>エン</t>
    </rPh>
    <rPh sb="2" eb="3">
      <t>マイ</t>
    </rPh>
    <rPh sb="4" eb="5">
      <t>ニチ</t>
    </rPh>
    <phoneticPr fontId="6"/>
  </si>
  <si>
    <t>鋼板整備量</t>
    <rPh sb="0" eb="2">
      <t>コウハン</t>
    </rPh>
    <rPh sb="2" eb="4">
      <t>セイビ</t>
    </rPh>
    <rPh sb="4" eb="5">
      <t>リョウ</t>
    </rPh>
    <phoneticPr fontId="6"/>
  </si>
  <si>
    <t>時間</t>
    <rPh sb="0" eb="2">
      <t>ジカン</t>
    </rPh>
    <phoneticPr fontId="6"/>
  </si>
  <si>
    <t>25ｔ吊り</t>
    <phoneticPr fontId="6"/>
  </si>
  <si>
    <t>第１－5号　手延機・連結構設備工内訳書</t>
  </si>
  <si>
    <t>手延機損料</t>
    <rPh sb="0" eb="3">
      <t>テノベキ</t>
    </rPh>
    <rPh sb="3" eb="5">
      <t>ソンリョウ</t>
    </rPh>
    <phoneticPr fontId="6"/>
  </si>
  <si>
    <t>ｔ×</t>
    <phoneticPr fontId="6"/>
  </si>
  <si>
    <t>連結構</t>
    <rPh sb="0" eb="2">
      <t>レンケツ</t>
    </rPh>
    <rPh sb="2" eb="3">
      <t>コウ</t>
    </rPh>
    <phoneticPr fontId="6"/>
  </si>
  <si>
    <t>×</t>
    <phoneticPr fontId="6"/>
  </si>
  <si>
    <t>125kVA</t>
    <phoneticPr fontId="6"/>
  </si>
  <si>
    <t>第１－6号　台車設備工内訳書</t>
  </si>
  <si>
    <t>年度労務単価</t>
    <phoneticPr fontId="6"/>
  </si>
  <si>
    <t>機械損料</t>
    <rPh sb="0" eb="2">
      <t>キカイ</t>
    </rPh>
    <rPh sb="2" eb="4">
      <t>ソンリョウ</t>
    </rPh>
    <phoneticPr fontId="6"/>
  </si>
  <si>
    <t>台車設備損料</t>
    <rPh sb="0" eb="2">
      <t>ダイシャ</t>
    </rPh>
    <rPh sb="2" eb="4">
      <t>セツビ</t>
    </rPh>
    <rPh sb="4" eb="6">
      <t>ソンリョウ</t>
    </rPh>
    <phoneticPr fontId="6"/>
  </si>
  <si>
    <t>6％</t>
  </si>
  <si>
    <t>第１－7号　送出し装置設備工内訳書</t>
  </si>
  <si>
    <t>ローラ損料</t>
    <rPh sb="3" eb="5">
      <t>ソンリョウ</t>
    </rPh>
    <phoneticPr fontId="6"/>
  </si>
  <si>
    <t>組日</t>
    <rPh sb="0" eb="1">
      <t>クミ</t>
    </rPh>
    <rPh sb="1" eb="2">
      <t>ニチ</t>
    </rPh>
    <phoneticPr fontId="6"/>
  </si>
  <si>
    <t>台＋</t>
    <rPh sb="0" eb="1">
      <t>ダイ</t>
    </rPh>
    <phoneticPr fontId="6"/>
  </si>
  <si>
    <t>送出し装置損料</t>
    <rPh sb="0" eb="2">
      <t>オクリダ</t>
    </rPh>
    <rPh sb="3" eb="5">
      <t>ソウチ</t>
    </rPh>
    <rPh sb="5" eb="7">
      <t>ソンリョウ</t>
    </rPh>
    <phoneticPr fontId="6"/>
  </si>
  <si>
    <t>＋</t>
    <phoneticPr fontId="6"/>
  </si>
  <si>
    <t>送出し操作システム装置損料</t>
    <rPh sb="0" eb="2">
      <t>オクリダ</t>
    </rPh>
    <rPh sb="3" eb="5">
      <t>ソウサ</t>
    </rPh>
    <rPh sb="9" eb="11">
      <t>ソウチ</t>
    </rPh>
    <rPh sb="11" eb="13">
      <t>ソンリョウ</t>
    </rPh>
    <phoneticPr fontId="6"/>
  </si>
  <si>
    <t>エンドレスローラー式</t>
    <rPh sb="9" eb="10">
      <t>シキ</t>
    </rPh>
    <phoneticPr fontId="6"/>
  </si>
  <si>
    <t>ｴﾝﾄﾞﾚｽﾛｰﾗｰ用駆動装置</t>
    <rPh sb="10" eb="11">
      <t>ヨウ</t>
    </rPh>
    <rPh sb="11" eb="13">
      <t>クドウ</t>
    </rPh>
    <rPh sb="13" eb="15">
      <t>ソウチ</t>
    </rPh>
    <phoneticPr fontId="6"/>
  </si>
  <si>
    <t>ｴﾝﾄﾞﾚｽﾛｰﾗｰ用安全装置</t>
    <rPh sb="10" eb="12">
      <t>アンゼン</t>
    </rPh>
    <rPh sb="12" eb="14">
      <t>ソウチ</t>
    </rPh>
    <phoneticPr fontId="6"/>
  </si>
  <si>
    <t>＋</t>
    <phoneticPr fontId="6"/>
  </si>
  <si>
    <t>トラッククレーン賃料</t>
    <phoneticPr fontId="6"/>
  </si>
  <si>
    <t>ラフテレーンクレーン</t>
    <phoneticPr fontId="6"/>
  </si>
  <si>
    <t>／</t>
    <phoneticPr fontId="6"/>
  </si>
  <si>
    <t>横取り設備損料</t>
    <rPh sb="0" eb="2">
      <t>ヨコド</t>
    </rPh>
    <rPh sb="3" eb="5">
      <t>セツビ</t>
    </rPh>
    <rPh sb="5" eb="7">
      <t>ソンリョウ</t>
    </rPh>
    <phoneticPr fontId="6"/>
  </si>
  <si>
    <t>（諸雑費込）</t>
    <rPh sb="1" eb="2">
      <t>ショ</t>
    </rPh>
    <rPh sb="2" eb="4">
      <t>ザッピ</t>
    </rPh>
    <rPh sb="4" eb="5">
      <t>コミ</t>
    </rPh>
    <phoneticPr fontId="6"/>
  </si>
  <si>
    <t>「橋梁架設工事の積算 令和2年年度版」 表2-3-95より</t>
    <rPh sb="1" eb="3">
      <t>キョウリョウ</t>
    </rPh>
    <rPh sb="3" eb="5">
      <t>カセツ</t>
    </rPh>
    <rPh sb="5" eb="7">
      <t>コウジ</t>
    </rPh>
    <rPh sb="8" eb="10">
      <t>セキサン</t>
    </rPh>
    <rPh sb="17" eb="18">
      <t>バン</t>
    </rPh>
    <rPh sb="20" eb="21">
      <t>ヒョウ</t>
    </rPh>
    <phoneticPr fontId="6"/>
  </si>
  <si>
    <t>第１－8号　降下設備工内訳書</t>
  </si>
  <si>
    <t>降下設備損料</t>
    <rPh sb="0" eb="2">
      <t>コウカ</t>
    </rPh>
    <rPh sb="2" eb="4">
      <t>セツビ</t>
    </rPh>
    <rPh sb="4" eb="6">
      <t>ソンリョウ</t>
    </rPh>
    <phoneticPr fontId="6"/>
  </si>
  <si>
    <t>「橋梁架設工事の積算 令和2年度版」 表2-3-96より</t>
    <rPh sb="1" eb="3">
      <t>キョウリョウ</t>
    </rPh>
    <rPh sb="3" eb="5">
      <t>カセツ</t>
    </rPh>
    <rPh sb="5" eb="7">
      <t>コウジ</t>
    </rPh>
    <rPh sb="8" eb="10">
      <t>セキサン</t>
    </rPh>
    <rPh sb="11" eb="13">
      <t>レイワ</t>
    </rPh>
    <rPh sb="16" eb="17">
      <t>バン</t>
    </rPh>
    <rPh sb="19" eb="20">
      <t>ヒョウ</t>
    </rPh>
    <phoneticPr fontId="6"/>
  </si>
  <si>
    <t>降下操作システム装置損料</t>
    <rPh sb="0" eb="2">
      <t>コウカ</t>
    </rPh>
    <rPh sb="2" eb="4">
      <t>ソウサ</t>
    </rPh>
    <rPh sb="8" eb="10">
      <t>ソウチ</t>
    </rPh>
    <rPh sb="10" eb="12">
      <t>ソンリョウ</t>
    </rPh>
    <phoneticPr fontId="6"/>
  </si>
  <si>
    <t>サンドル降下であるため、装置は不要である。</t>
    <rPh sb="4" eb="6">
      <t>コウカ</t>
    </rPh>
    <rPh sb="12" eb="14">
      <t>ソウチ</t>
    </rPh>
    <rPh sb="15" eb="17">
      <t>フヨウ</t>
    </rPh>
    <phoneticPr fontId="6"/>
  </si>
  <si>
    <t>第１－9号　ケーブルクレーン設備工内訳書</t>
  </si>
  <si>
    <t>鉄塔損料</t>
    <rPh sb="0" eb="2">
      <t>テットウ</t>
    </rPh>
    <rPh sb="2" eb="4">
      <t>ソンリョウ</t>
    </rPh>
    <phoneticPr fontId="6"/>
  </si>
  <si>
    <t>ケーブル設備損料</t>
    <rPh sb="4" eb="6">
      <t>セツビ</t>
    </rPh>
    <rPh sb="6" eb="8">
      <t>ソンリョウ</t>
    </rPh>
    <phoneticPr fontId="6"/>
  </si>
  <si>
    <t>第１－10号　溶接用架台設備工内訳書</t>
  </si>
  <si>
    <t>溶接用架台損料</t>
    <rPh sb="0" eb="2">
      <t>ヨウセツ</t>
    </rPh>
    <rPh sb="2" eb="3">
      <t>ヨウ</t>
    </rPh>
    <rPh sb="3" eb="5">
      <t>カダイ</t>
    </rPh>
    <rPh sb="5" eb="7">
      <t>ソンリョウ</t>
    </rPh>
    <phoneticPr fontId="6"/>
  </si>
  <si>
    <t>25ｔ吊り</t>
    <phoneticPr fontId="6"/>
  </si>
  <si>
    <t>＝</t>
    <phoneticPr fontId="6"/>
  </si>
  <si>
    <t>第１－11号　主桁組立工内訳書</t>
  </si>
  <si>
    <t>ドリフトピン</t>
  </si>
  <si>
    <t>※下記参照</t>
    <rPh sb="1" eb="3">
      <t>カキ</t>
    </rPh>
    <rPh sb="3" eb="5">
      <t>サンショウ</t>
    </rPh>
    <phoneticPr fontId="6"/>
  </si>
  <si>
    <t>仮締めボルト</t>
  </si>
  <si>
    <t>※ドリフトピン単価</t>
    <rPh sb="7" eb="9">
      <t>タンカ</t>
    </rPh>
    <phoneticPr fontId="6"/>
  </si>
  <si>
    <t>円 ／</t>
    <rPh sb="0" eb="1">
      <t>エン</t>
    </rPh>
    <phoneticPr fontId="6"/>
  </si>
  <si>
    <t>本・日</t>
    <rPh sb="0" eb="1">
      <t>ホン</t>
    </rPh>
    <rPh sb="2" eb="3">
      <t>ニチ</t>
    </rPh>
    <phoneticPr fontId="6"/>
  </si>
  <si>
    <t>本</t>
    <rPh sb="0" eb="1">
      <t>ホン</t>
    </rPh>
    <phoneticPr fontId="6"/>
  </si>
  <si>
    <t>1/3</t>
    <phoneticPr fontId="6"/>
  </si>
  <si>
    <t>※仮締めボルト単価</t>
    <rPh sb="1" eb="2">
      <t>カリ</t>
    </rPh>
    <rPh sb="2" eb="3">
      <t>シ</t>
    </rPh>
    <rPh sb="7" eb="9">
      <t>タンカ</t>
    </rPh>
    <phoneticPr fontId="6"/>
  </si>
  <si>
    <t>2/3</t>
    <phoneticPr fontId="6"/>
  </si>
  <si>
    <t>第１－12号　主桁送出し工内訳書</t>
  </si>
  <si>
    <t>受け点</t>
    <rPh sb="0" eb="1">
      <t>ウ</t>
    </rPh>
    <rPh sb="2" eb="3">
      <t>テン</t>
    </rPh>
    <phoneticPr fontId="6"/>
  </si>
  <si>
    <t>点/脚</t>
    <rPh sb="0" eb="1">
      <t>テン</t>
    </rPh>
    <rPh sb="2" eb="3">
      <t>キャク</t>
    </rPh>
    <phoneticPr fontId="6"/>
  </si>
  <si>
    <t>所要日数 ＝</t>
    <phoneticPr fontId="6"/>
  </si>
  <si>
    <t>人数は駆動装置分を含む</t>
  </si>
  <si>
    <t>日当り施工量</t>
    <phoneticPr fontId="6"/>
  </si>
  <si>
    <t>送出し回数</t>
    <rPh sb="0" eb="2">
      <t>オクリダ</t>
    </rPh>
    <rPh sb="3" eb="5">
      <t>カイスウ</t>
    </rPh>
    <phoneticPr fontId="6"/>
  </si>
  <si>
    <t>回</t>
    <rPh sb="0" eb="1">
      <t>カイ</t>
    </rPh>
    <phoneticPr fontId="6"/>
  </si>
  <si>
    <t>施工箇所</t>
    <rPh sb="0" eb="2">
      <t>セコウ</t>
    </rPh>
    <rPh sb="2" eb="4">
      <t>カショ</t>
    </rPh>
    <phoneticPr fontId="6"/>
  </si>
  <si>
    <t>移動
距離</t>
    <rPh sb="0" eb="2">
      <t>イドウ</t>
    </rPh>
    <rPh sb="3" eb="5">
      <t>キョリ</t>
    </rPh>
    <phoneticPr fontId="6"/>
  </si>
  <si>
    <t>所要日数</t>
    <phoneticPr fontId="6"/>
  </si>
  <si>
    <t>労務編成</t>
    <rPh sb="0" eb="2">
      <t>ロウム</t>
    </rPh>
    <rPh sb="2" eb="4">
      <t>ヘンセイ</t>
    </rPh>
    <phoneticPr fontId="6"/>
  </si>
  <si>
    <t>労務工数</t>
    <rPh sb="0" eb="2">
      <t>ロウム</t>
    </rPh>
    <rPh sb="2" eb="4">
      <t>コウスウ</t>
    </rPh>
    <phoneticPr fontId="6"/>
  </si>
  <si>
    <t>橋梁世話役</t>
    <rPh sb="0" eb="2">
      <t>キョウリョウ</t>
    </rPh>
    <rPh sb="2" eb="5">
      <t>セワヤク</t>
    </rPh>
    <phoneticPr fontId="6"/>
  </si>
  <si>
    <t>橋梁特殊工</t>
    <phoneticPr fontId="6"/>
  </si>
  <si>
    <t>第１橋脚</t>
  </si>
  <si>
    <t>第２橋脚</t>
    <phoneticPr fontId="6"/>
  </si>
  <si>
    <t>第３橋脚</t>
    <phoneticPr fontId="6"/>
  </si>
  <si>
    <t>第４橋脚</t>
    <phoneticPr fontId="6"/>
  </si>
  <si>
    <t>第５橋脚</t>
    <phoneticPr fontId="6"/>
  </si>
  <si>
    <t>第６橋脚</t>
    <phoneticPr fontId="6"/>
  </si>
  <si>
    <t>第７橋脚</t>
    <phoneticPr fontId="6"/>
  </si>
  <si>
    <t>第８橋脚</t>
    <phoneticPr fontId="6"/>
  </si>
  <si>
    <t>第９橋脚</t>
    <phoneticPr fontId="6"/>
  </si>
  <si>
    <t>第10橋脚</t>
    <phoneticPr fontId="6"/>
  </si>
  <si>
    <t>第11橋脚</t>
    <phoneticPr fontId="6"/>
  </si>
  <si>
    <t>小計</t>
    <rPh sb="0" eb="2">
      <t>ショウケイ</t>
    </rPh>
    <phoneticPr fontId="6"/>
  </si>
  <si>
    <t>駆動装置</t>
    <rPh sb="0" eb="2">
      <t>クドウ</t>
    </rPh>
    <rPh sb="2" eb="4">
      <t>ソウチ</t>
    </rPh>
    <phoneticPr fontId="6"/>
  </si>
  <si>
    <t>惜しみ装置</t>
    <rPh sb="0" eb="1">
      <t>オ</t>
    </rPh>
    <rPh sb="3" eb="5">
      <t>ソウチ</t>
    </rPh>
    <phoneticPr fontId="6"/>
  </si>
  <si>
    <t>合計</t>
    <rPh sb="0" eb="2">
      <t>ゴウケイ</t>
    </rPh>
    <phoneticPr fontId="6"/>
  </si>
  <si>
    <t>第１－13号　主桁降下工内訳書</t>
  </si>
  <si>
    <t>年度労務単価</t>
    <phoneticPr fontId="6"/>
  </si>
  <si>
    <t>第１－14号　重建設機械分解組立運搬費</t>
    <phoneticPr fontId="6"/>
  </si>
  <si>
    <t>組立･分解費</t>
    <rPh sb="0" eb="2">
      <t>クミタテ</t>
    </rPh>
    <rPh sb="3" eb="5">
      <t>ブンカイ</t>
    </rPh>
    <rPh sb="5" eb="6">
      <t>ヒ</t>
    </rPh>
    <phoneticPr fontId="6"/>
  </si>
  <si>
    <t>特殊作業員</t>
    <rPh sb="0" eb="2">
      <t>トクシュ</t>
    </rPh>
    <rPh sb="2" eb="4">
      <t>サギョウ</t>
    </rPh>
    <rPh sb="4" eb="5">
      <t>イン</t>
    </rPh>
    <phoneticPr fontId="6"/>
  </si>
  <si>
    <t>50ｔ吊り</t>
    <phoneticPr fontId="6"/>
  </si>
  <si>
    <t>運搬費</t>
    <rPh sb="0" eb="2">
      <t>ウンパン</t>
    </rPh>
    <rPh sb="2" eb="3">
      <t>ヒ</t>
    </rPh>
    <phoneticPr fontId="6"/>
  </si>
  <si>
    <t>%</t>
    <phoneticPr fontId="6"/>
  </si>
  <si>
    <t>第１－15号　現場継手部溶接工内訳書</t>
  </si>
  <si>
    <t>溶接材料ほか</t>
    <rPh sb="0" eb="2">
      <t>ヨウセツ</t>
    </rPh>
    <rPh sb="2" eb="4">
      <t>ザイリョウ</t>
    </rPh>
    <phoneticPr fontId="6"/>
  </si>
  <si>
    <t>60kg級</t>
    <rPh sb="4" eb="5">
      <t>キュウ</t>
    </rPh>
    <phoneticPr fontId="6"/>
  </si>
  <si>
    <t>製作費</t>
    <rPh sb="0" eb="3">
      <t>セイサクヒ</t>
    </rPh>
    <phoneticPr fontId="6"/>
  </si>
  <si>
    <t>ストロングバック</t>
    <phoneticPr fontId="6"/>
  </si>
  <si>
    <t>継手</t>
    <rPh sb="0" eb="1">
      <t>ツギ</t>
    </rPh>
    <rPh sb="1" eb="2">
      <t>テ</t>
    </rPh>
    <phoneticPr fontId="6"/>
  </si>
  <si>
    <t>現場溶接消耗材料（溶接長１００ｍあたり）</t>
    <rPh sb="0" eb="2">
      <t>ゲンバ</t>
    </rPh>
    <rPh sb="2" eb="4">
      <t>ヨウセツ</t>
    </rPh>
    <rPh sb="4" eb="6">
      <t>ショウモウ</t>
    </rPh>
    <rPh sb="6" eb="8">
      <t>ザイリョウ</t>
    </rPh>
    <rPh sb="9" eb="11">
      <t>ヨウセツ</t>
    </rPh>
    <rPh sb="11" eb="12">
      <t>チョウ</t>
    </rPh>
    <phoneticPr fontId="6"/>
  </si>
  <si>
    <t>（平均板厚</t>
    <rPh sb="1" eb="3">
      <t>ヘイキン</t>
    </rPh>
    <rPh sb="3" eb="5">
      <t>イタアツ</t>
    </rPh>
    <phoneticPr fontId="6"/>
  </si>
  <si>
    <t>ｍｍ）</t>
  </si>
  <si>
    <t>溶接ワイヤ</t>
    <rPh sb="0" eb="2">
      <t>ヨウセツ</t>
    </rPh>
    <phoneticPr fontId="6"/>
  </si>
  <si>
    <t>ｋｇ</t>
    <phoneticPr fontId="6"/>
  </si>
  <si>
    <t>-</t>
    <phoneticPr fontId="6"/>
  </si>
  <si>
    <t>(0.2172　×</t>
    <phoneticPr fontId="6"/>
  </si>
  <si>
    <t>mm －</t>
  </si>
  <si>
    <t>2.0 )</t>
    <phoneticPr fontId="6"/>
  </si>
  <si>
    <t>×100</t>
    <phoneticPr fontId="6"/>
  </si>
  <si>
    <t>kg</t>
  </si>
  <si>
    <t>シールドガス</t>
    <phoneticPr fontId="6"/>
  </si>
  <si>
    <t>2.0 )</t>
  </si>
  <si>
    <t>kg</t>
    <phoneticPr fontId="6"/>
  </si>
  <si>
    <t>裏当て材</t>
    <rPh sb="0" eb="2">
      <t>ウラア</t>
    </rPh>
    <rPh sb="3" eb="4">
      <t>ザイ</t>
    </rPh>
    <phoneticPr fontId="6"/>
  </si>
  <si>
    <t>発電機燃料</t>
    <rPh sb="0" eb="3">
      <t>ハツデンキ</t>
    </rPh>
    <rPh sb="3" eb="5">
      <t>ネンリョウ</t>
    </rPh>
    <phoneticPr fontId="6"/>
  </si>
  <si>
    <t>軽油</t>
    <rPh sb="0" eb="2">
      <t>ケイユ</t>
    </rPh>
    <phoneticPr fontId="6"/>
  </si>
  <si>
    <t>㍑</t>
    <phoneticPr fontId="6"/>
  </si>
  <si>
    <t>空気圧縮機燃料</t>
    <rPh sb="0" eb="2">
      <t>クウキ</t>
    </rPh>
    <rPh sb="2" eb="5">
      <t>アッシュクキ</t>
    </rPh>
    <rPh sb="5" eb="7">
      <t>ネンリョウ</t>
    </rPh>
    <phoneticPr fontId="6"/>
  </si>
  <si>
    <t>-</t>
    <phoneticPr fontId="6"/>
  </si>
  <si>
    <t>係数（表2-5-39）</t>
  </si>
  <si>
    <t>×</t>
    <phoneticPr fontId="6"/>
  </si>
  <si>
    <t>ストロングバック製作費</t>
    <rPh sb="8" eb="11">
      <t>セイサクヒ</t>
    </rPh>
    <phoneticPr fontId="6"/>
  </si>
  <si>
    <t>フランジ部</t>
    <rPh sb="4" eb="5">
      <t>ブ</t>
    </rPh>
    <phoneticPr fontId="6"/>
  </si>
  <si>
    <t>４ヶ所</t>
    <rPh sb="2" eb="3">
      <t>ショ</t>
    </rPh>
    <phoneticPr fontId="6"/>
  </si>
  <si>
    <t>組</t>
    <rPh sb="0" eb="1">
      <t>クミ</t>
    </rPh>
    <phoneticPr fontId="6"/>
  </si>
  <si>
    <t>ウェブ部</t>
    <rPh sb="3" eb="4">
      <t>ブ</t>
    </rPh>
    <phoneticPr fontId="6"/>
  </si>
  <si>
    <t>２ヶ所</t>
    <rPh sb="2" eb="3">
      <t>ショ</t>
    </rPh>
    <phoneticPr fontId="6"/>
  </si>
  <si>
    <t>第１－16号　溶接用ケーシング設備工内訳書</t>
  </si>
  <si>
    <t>ケーシング設備損料</t>
    <rPh sb="5" eb="7">
      <t>セツビ</t>
    </rPh>
    <rPh sb="7" eb="9">
      <t>ソンリョウ</t>
    </rPh>
    <phoneticPr fontId="6"/>
  </si>
  <si>
    <t>４基配置</t>
    <rPh sb="1" eb="2">
      <t>キ</t>
    </rPh>
    <rPh sb="2" eb="4">
      <t>ハイチ</t>
    </rPh>
    <phoneticPr fontId="6"/>
  </si>
  <si>
    <t>×</t>
    <phoneticPr fontId="6"/>
  </si>
  <si>
    <t>第１－17号　支承据付工内訳書</t>
  </si>
  <si>
    <t>（トラッククレーンによる）</t>
    <phoneticPr fontId="6"/>
  </si>
  <si>
    <t>（ケーブルクレーンによる）</t>
    <phoneticPr fontId="6"/>
  </si>
  <si>
    <t>材料費</t>
  </si>
  <si>
    <t>支承据付材料</t>
  </si>
  <si>
    <t>基×</t>
    <rPh sb="0" eb="1">
      <t>キ</t>
    </rPh>
    <phoneticPr fontId="6"/>
  </si>
  <si>
    <r>
      <t>ｍ</t>
    </r>
    <r>
      <rPr>
        <vertAlign val="superscript"/>
        <sz val="10"/>
        <rFont val="ＭＳ ゴシック"/>
        <family val="3"/>
        <charset val="128"/>
      </rPr>
      <t>3</t>
    </r>
    <r>
      <rPr>
        <sz val="10"/>
        <rFont val="ＭＳ ゴシック"/>
        <family val="3"/>
        <charset val="128"/>
      </rPr>
      <t>×</t>
    </r>
    <phoneticPr fontId="6"/>
  </si>
  <si>
    <r>
      <t>円/m</t>
    </r>
    <r>
      <rPr>
        <vertAlign val="superscript"/>
        <sz val="10"/>
        <rFont val="ＭＳ ゴシック"/>
        <family val="3"/>
        <charset val="128"/>
      </rPr>
      <t>3</t>
    </r>
    <rPh sb="0" eb="1">
      <t>エン</t>
    </rPh>
    <phoneticPr fontId="6"/>
  </si>
  <si>
    <t>円</t>
    <rPh sb="0" eb="1">
      <t>エン</t>
    </rPh>
    <phoneticPr fontId="6"/>
  </si>
  <si>
    <t>第１－18号　高力ボルト本締工内訳書</t>
  </si>
  <si>
    <t>×</t>
    <phoneticPr fontId="6"/>
  </si>
  <si>
    <t>第１－19号　落橋防止装置取付工内訳書</t>
  </si>
  <si>
    <t>ラフテレーンクレーン</t>
    <phoneticPr fontId="6"/>
  </si>
  <si>
    <t>第１－20号　足場工内訳書</t>
  </si>
  <si>
    <t>足場工</t>
    <phoneticPr fontId="6"/>
  </si>
  <si>
    <t>架設区間</t>
    <rPh sb="0" eb="2">
      <t>カセツ</t>
    </rPh>
    <rPh sb="2" eb="4">
      <t>クカン</t>
    </rPh>
    <phoneticPr fontId="6"/>
  </si>
  <si>
    <t>Ａ＝</t>
    <phoneticPr fontId="6"/>
  </si>
  <si>
    <t>ｍ2</t>
    <phoneticPr fontId="6"/>
  </si>
  <si>
    <t>主体足場</t>
  </si>
  <si>
    <t>労務費</t>
    <rPh sb="0" eb="3">
      <t>ロウムヒ</t>
    </rPh>
    <phoneticPr fontId="6"/>
  </si>
  <si>
    <r>
      <t>ｍ</t>
    </r>
    <r>
      <rPr>
        <vertAlign val="superscript"/>
        <sz val="10"/>
        <rFont val="ＭＳ ゴシック"/>
        <family val="3"/>
        <charset val="128"/>
      </rPr>
      <t>2</t>
    </r>
    <phoneticPr fontId="6"/>
  </si>
  <si>
    <t>足場賃料</t>
    <rPh sb="0" eb="2">
      <t>アシバ</t>
    </rPh>
    <rPh sb="2" eb="4">
      <t>チンリョウ</t>
    </rPh>
    <phoneticPr fontId="6"/>
  </si>
  <si>
    <r>
      <t>ｍ</t>
    </r>
    <r>
      <rPr>
        <vertAlign val="superscript"/>
        <sz val="10"/>
        <rFont val="ＭＳ ゴシック"/>
        <family val="3"/>
        <charset val="128"/>
      </rPr>
      <t>2</t>
    </r>
    <phoneticPr fontId="6"/>
  </si>
  <si>
    <t>中段足場</t>
  </si>
  <si>
    <r>
      <t>ｍ</t>
    </r>
    <r>
      <rPr>
        <vertAlign val="superscript"/>
        <sz val="10"/>
        <rFont val="ＭＳ ゴシック"/>
        <family val="3"/>
        <charset val="128"/>
      </rPr>
      <t>2</t>
    </r>
    <phoneticPr fontId="6"/>
  </si>
  <si>
    <t>安全通路</t>
    <phoneticPr fontId="6"/>
  </si>
  <si>
    <t>部分作業床</t>
    <phoneticPr fontId="6"/>
  </si>
  <si>
    <t>足場工</t>
    <phoneticPr fontId="6"/>
  </si>
  <si>
    <t>送出しヤード</t>
    <rPh sb="0" eb="2">
      <t>オクリダ</t>
    </rPh>
    <phoneticPr fontId="6"/>
  </si>
  <si>
    <t>Ａ＝</t>
    <phoneticPr fontId="6"/>
  </si>
  <si>
    <t>ｍ2</t>
    <phoneticPr fontId="6"/>
  </si>
  <si>
    <t>安全通路</t>
  </si>
  <si>
    <t>登り桟橋工</t>
    <phoneticPr fontId="6"/>
  </si>
  <si>
    <t>延べ高さ</t>
    <rPh sb="0" eb="1">
      <t>ノ</t>
    </rPh>
    <rPh sb="2" eb="3">
      <t>タカ</t>
    </rPh>
    <phoneticPr fontId="6"/>
  </si>
  <si>
    <t>Ｈ＝</t>
    <phoneticPr fontId="6"/>
  </si>
  <si>
    <t>※架設区間　主体足場単価</t>
    <rPh sb="1" eb="3">
      <t>カセツ</t>
    </rPh>
    <rPh sb="3" eb="5">
      <t>クカン</t>
    </rPh>
    <rPh sb="6" eb="8">
      <t>シュタイ</t>
    </rPh>
    <rPh sb="8" eb="10">
      <t>アシバ</t>
    </rPh>
    <rPh sb="10" eb="12">
      <t>タンカ</t>
    </rPh>
    <phoneticPr fontId="6"/>
  </si>
  <si>
    <t>労務</t>
    <rPh sb="0" eb="2">
      <t>ロウム</t>
    </rPh>
    <phoneticPr fontId="6"/>
  </si>
  <si>
    <t>単価＝</t>
    <rPh sb="0" eb="2">
      <t>タンカ</t>
    </rPh>
    <phoneticPr fontId="6"/>
  </si>
  <si>
    <r>
      <t>（Ｎ</t>
    </r>
    <r>
      <rPr>
        <vertAlign val="subscript"/>
        <sz val="10"/>
        <rFont val="ＭＳ ゴシック"/>
        <family val="3"/>
        <charset val="128"/>
      </rPr>
      <t>1</t>
    </r>
    <r>
      <rPr>
        <sz val="10"/>
        <rFont val="ＭＳ ゴシック"/>
        <family val="3"/>
        <charset val="128"/>
      </rPr>
      <t>＋Ｎ</t>
    </r>
    <r>
      <rPr>
        <vertAlign val="subscript"/>
        <sz val="10"/>
        <rFont val="ＭＳ ゴシック"/>
        <family val="3"/>
        <charset val="128"/>
      </rPr>
      <t>2</t>
    </r>
    <r>
      <rPr>
        <sz val="10"/>
        <rFont val="ＭＳ ゴシック"/>
        <family val="3"/>
        <charset val="128"/>
      </rPr>
      <t>）ｙ</t>
    </r>
    <phoneticPr fontId="6"/>
  </si>
  <si>
    <t>＝（</t>
    <phoneticPr fontId="6"/>
  </si>
  <si>
    <t>＋</t>
    <phoneticPr fontId="6"/>
  </si>
  <si>
    <t>）×</t>
    <phoneticPr fontId="6"/>
  </si>
  <si>
    <t>　＝</t>
    <phoneticPr fontId="6"/>
  </si>
  <si>
    <r>
      <t>円/ｍ</t>
    </r>
    <r>
      <rPr>
        <vertAlign val="superscript"/>
        <sz val="10"/>
        <rFont val="ＭＳ ゴシック"/>
        <family val="3"/>
        <charset val="128"/>
      </rPr>
      <t>2</t>
    </r>
    <phoneticPr fontId="6"/>
  </si>
  <si>
    <t>賃料</t>
    <rPh sb="0" eb="2">
      <t>チンリョウ</t>
    </rPh>
    <phoneticPr fontId="6"/>
  </si>
  <si>
    <r>
      <t>　Ｌ</t>
    </r>
    <r>
      <rPr>
        <vertAlign val="subscript"/>
        <sz val="10"/>
        <rFont val="ＭＳ ゴシック"/>
        <family val="3"/>
        <charset val="128"/>
      </rPr>
      <t>1</t>
    </r>
    <r>
      <rPr>
        <sz val="10"/>
        <rFont val="ＭＳ ゴシック"/>
        <family val="3"/>
        <charset val="128"/>
      </rPr>
      <t>＋Ｌ</t>
    </r>
    <r>
      <rPr>
        <vertAlign val="subscript"/>
        <sz val="10"/>
        <rFont val="ＭＳ ゴシック"/>
        <family val="3"/>
        <charset val="128"/>
      </rPr>
      <t>2</t>
    </r>
    <r>
      <rPr>
        <sz val="10"/>
        <rFont val="ＭＳ ゴシック"/>
        <family val="3"/>
        <charset val="128"/>
      </rPr>
      <t>Ｔ</t>
    </r>
    <r>
      <rPr>
        <vertAlign val="subscript"/>
        <sz val="10"/>
        <rFont val="ＭＳ ゴシック"/>
        <family val="3"/>
        <charset val="128"/>
      </rPr>
      <t>1</t>
    </r>
    <phoneticPr fontId="6"/>
  </si>
  <si>
    <t>＝　</t>
    <phoneticPr fontId="6"/>
  </si>
  <si>
    <t>＋（</t>
    <phoneticPr fontId="6"/>
  </si>
  <si>
    <t>×</t>
    <phoneticPr fontId="6"/>
  </si>
  <si>
    <t>）＝</t>
    <phoneticPr fontId="6"/>
  </si>
  <si>
    <r>
      <t>円/ｍ</t>
    </r>
    <r>
      <rPr>
        <vertAlign val="superscript"/>
        <sz val="10"/>
        <rFont val="ＭＳ ゴシック"/>
        <family val="3"/>
        <charset val="128"/>
      </rPr>
      <t>2</t>
    </r>
    <phoneticPr fontId="6"/>
  </si>
  <si>
    <t>※架設区間　中段足場単価</t>
    <rPh sb="6" eb="7">
      <t>チュウダン</t>
    </rPh>
    <rPh sb="7" eb="8">
      <t>ダン</t>
    </rPh>
    <rPh sb="8" eb="10">
      <t>アシバ</t>
    </rPh>
    <rPh sb="10" eb="12">
      <t>タンカ</t>
    </rPh>
    <phoneticPr fontId="6"/>
  </si>
  <si>
    <r>
      <t>（Ｎ</t>
    </r>
    <r>
      <rPr>
        <vertAlign val="subscript"/>
        <sz val="10"/>
        <rFont val="ＭＳ ゴシック"/>
        <family val="3"/>
        <charset val="128"/>
      </rPr>
      <t>1</t>
    </r>
    <r>
      <rPr>
        <sz val="10"/>
        <rFont val="ＭＳ ゴシック"/>
        <family val="3"/>
        <charset val="128"/>
      </rPr>
      <t>＋Ｎ</t>
    </r>
    <r>
      <rPr>
        <vertAlign val="subscript"/>
        <sz val="10"/>
        <rFont val="ＭＳ ゴシック"/>
        <family val="3"/>
        <charset val="128"/>
      </rPr>
      <t>2</t>
    </r>
    <r>
      <rPr>
        <sz val="10"/>
        <rFont val="ＭＳ ゴシック"/>
        <family val="3"/>
        <charset val="128"/>
      </rPr>
      <t>）ｙ</t>
    </r>
    <phoneticPr fontId="6"/>
  </si>
  <si>
    <t>　＝</t>
    <phoneticPr fontId="6"/>
  </si>
  <si>
    <r>
      <t>円/ｍ</t>
    </r>
    <r>
      <rPr>
        <vertAlign val="superscript"/>
        <sz val="10"/>
        <rFont val="ＭＳ ゴシック"/>
        <family val="3"/>
        <charset val="128"/>
      </rPr>
      <t>2</t>
    </r>
    <phoneticPr fontId="6"/>
  </si>
  <si>
    <r>
      <t>　Ｌ</t>
    </r>
    <r>
      <rPr>
        <vertAlign val="subscript"/>
        <sz val="10"/>
        <rFont val="ＭＳ ゴシック"/>
        <family val="3"/>
        <charset val="128"/>
      </rPr>
      <t>1</t>
    </r>
    <r>
      <rPr>
        <sz val="10"/>
        <rFont val="ＭＳ ゴシック"/>
        <family val="3"/>
        <charset val="128"/>
      </rPr>
      <t>＋Ｌ</t>
    </r>
    <r>
      <rPr>
        <vertAlign val="subscript"/>
        <sz val="10"/>
        <rFont val="ＭＳ ゴシック"/>
        <family val="3"/>
        <charset val="128"/>
      </rPr>
      <t>2</t>
    </r>
    <r>
      <rPr>
        <sz val="10"/>
        <rFont val="ＭＳ ゴシック"/>
        <family val="3"/>
        <charset val="128"/>
      </rPr>
      <t>Ｔ</t>
    </r>
    <r>
      <rPr>
        <vertAlign val="subscript"/>
        <sz val="10"/>
        <rFont val="ＭＳ ゴシック"/>
        <family val="3"/>
        <charset val="128"/>
      </rPr>
      <t>2</t>
    </r>
    <phoneticPr fontId="6"/>
  </si>
  <si>
    <t>＝　</t>
    <phoneticPr fontId="6"/>
  </si>
  <si>
    <t>＋（</t>
    <phoneticPr fontId="6"/>
  </si>
  <si>
    <t>）＝</t>
    <phoneticPr fontId="6"/>
  </si>
  <si>
    <r>
      <t>円/ｍ</t>
    </r>
    <r>
      <rPr>
        <vertAlign val="superscript"/>
        <sz val="10"/>
        <rFont val="ＭＳ ゴシック"/>
        <family val="3"/>
        <charset val="128"/>
      </rPr>
      <t>2</t>
    </r>
    <phoneticPr fontId="6"/>
  </si>
  <si>
    <t>※架設区間　安全通路単価</t>
    <rPh sb="6" eb="8">
      <t>アンゼン</t>
    </rPh>
    <rPh sb="8" eb="10">
      <t>ツウロ</t>
    </rPh>
    <rPh sb="10" eb="12">
      <t>タンカ</t>
    </rPh>
    <phoneticPr fontId="6"/>
  </si>
  <si>
    <r>
      <t>（Ｎ</t>
    </r>
    <r>
      <rPr>
        <vertAlign val="subscript"/>
        <sz val="10"/>
        <rFont val="ＭＳ ゴシック"/>
        <family val="3"/>
        <charset val="128"/>
      </rPr>
      <t>1</t>
    </r>
    <r>
      <rPr>
        <sz val="10"/>
        <rFont val="ＭＳ ゴシック"/>
        <family val="3"/>
        <charset val="128"/>
      </rPr>
      <t>＋Ｎ</t>
    </r>
    <r>
      <rPr>
        <vertAlign val="subscript"/>
        <sz val="10"/>
        <rFont val="ＭＳ ゴシック"/>
        <family val="3"/>
        <charset val="128"/>
      </rPr>
      <t>2</t>
    </r>
    <r>
      <rPr>
        <sz val="10"/>
        <rFont val="ＭＳ ゴシック"/>
        <family val="3"/>
        <charset val="128"/>
      </rPr>
      <t>）ｙ</t>
    </r>
    <phoneticPr fontId="6"/>
  </si>
  <si>
    <t>＝（</t>
    <phoneticPr fontId="6"/>
  </si>
  <si>
    <t>＋</t>
    <phoneticPr fontId="6"/>
  </si>
  <si>
    <t>）×</t>
    <phoneticPr fontId="6"/>
  </si>
  <si>
    <r>
      <t>　Ｌ</t>
    </r>
    <r>
      <rPr>
        <vertAlign val="subscript"/>
        <sz val="10"/>
        <rFont val="ＭＳ ゴシック"/>
        <family val="3"/>
        <charset val="128"/>
      </rPr>
      <t>1</t>
    </r>
    <r>
      <rPr>
        <sz val="10"/>
        <rFont val="ＭＳ ゴシック"/>
        <family val="3"/>
        <charset val="128"/>
      </rPr>
      <t>＋Ｌ</t>
    </r>
    <r>
      <rPr>
        <vertAlign val="subscript"/>
        <sz val="10"/>
        <rFont val="ＭＳ ゴシック"/>
        <family val="3"/>
        <charset val="128"/>
      </rPr>
      <t>2</t>
    </r>
    <r>
      <rPr>
        <sz val="10"/>
        <rFont val="ＭＳ ゴシック"/>
        <family val="3"/>
        <charset val="128"/>
      </rPr>
      <t>Ｔ</t>
    </r>
    <r>
      <rPr>
        <vertAlign val="subscript"/>
        <sz val="10"/>
        <rFont val="ＭＳ ゴシック"/>
        <family val="3"/>
        <charset val="128"/>
      </rPr>
      <t>3</t>
    </r>
    <phoneticPr fontId="6"/>
  </si>
  <si>
    <t>＋（</t>
    <phoneticPr fontId="6"/>
  </si>
  <si>
    <t>※架設区間　部分作業床単価</t>
    <rPh sb="6" eb="8">
      <t>ブブン</t>
    </rPh>
    <rPh sb="8" eb="10">
      <t>サギョウ</t>
    </rPh>
    <rPh sb="10" eb="11">
      <t>ショウ</t>
    </rPh>
    <rPh sb="11" eb="13">
      <t>タンカ</t>
    </rPh>
    <phoneticPr fontId="6"/>
  </si>
  <si>
    <r>
      <t>　Ｌ</t>
    </r>
    <r>
      <rPr>
        <vertAlign val="subscript"/>
        <sz val="10"/>
        <rFont val="ＭＳ ゴシック"/>
        <family val="3"/>
        <charset val="128"/>
      </rPr>
      <t>1</t>
    </r>
    <r>
      <rPr>
        <sz val="10"/>
        <rFont val="ＭＳ ゴシック"/>
        <family val="3"/>
        <charset val="128"/>
      </rPr>
      <t>＋Ｌ</t>
    </r>
    <r>
      <rPr>
        <vertAlign val="subscript"/>
        <sz val="10"/>
        <rFont val="ＭＳ ゴシック"/>
        <family val="3"/>
        <charset val="128"/>
      </rPr>
      <t>2</t>
    </r>
    <r>
      <rPr>
        <sz val="10"/>
        <rFont val="ＭＳ ゴシック"/>
        <family val="3"/>
        <charset val="128"/>
      </rPr>
      <t>Ｔ</t>
    </r>
    <r>
      <rPr>
        <vertAlign val="subscript"/>
        <sz val="10"/>
        <rFont val="ＭＳ ゴシック"/>
        <family val="3"/>
        <charset val="128"/>
      </rPr>
      <t>4</t>
    </r>
    <phoneticPr fontId="6"/>
  </si>
  <si>
    <t>＝　</t>
    <phoneticPr fontId="6"/>
  </si>
  <si>
    <t>＋（</t>
    <phoneticPr fontId="6"/>
  </si>
  <si>
    <t>×</t>
    <phoneticPr fontId="6"/>
  </si>
  <si>
    <t>）＝</t>
    <phoneticPr fontId="6"/>
  </si>
  <si>
    <r>
      <t>円/ｍ</t>
    </r>
    <r>
      <rPr>
        <vertAlign val="superscript"/>
        <sz val="10"/>
        <rFont val="ＭＳ ゴシック"/>
        <family val="3"/>
        <charset val="128"/>
      </rPr>
      <t>2</t>
    </r>
    <phoneticPr fontId="6"/>
  </si>
  <si>
    <t>※送出しヤード　主体足場単価</t>
    <rPh sb="1" eb="3">
      <t>オクリダ</t>
    </rPh>
    <rPh sb="8" eb="10">
      <t>シュタイ</t>
    </rPh>
    <rPh sb="10" eb="12">
      <t>アシバ</t>
    </rPh>
    <rPh sb="12" eb="14">
      <t>タンカ</t>
    </rPh>
    <phoneticPr fontId="6"/>
  </si>
  <si>
    <t>　＝</t>
    <phoneticPr fontId="6"/>
  </si>
  <si>
    <r>
      <t>円/ｍ</t>
    </r>
    <r>
      <rPr>
        <vertAlign val="superscript"/>
        <sz val="10"/>
        <rFont val="ＭＳ ゴシック"/>
        <family val="3"/>
        <charset val="128"/>
      </rPr>
      <t>2</t>
    </r>
    <phoneticPr fontId="6"/>
  </si>
  <si>
    <r>
      <t>　Ｌ</t>
    </r>
    <r>
      <rPr>
        <vertAlign val="subscript"/>
        <sz val="10"/>
        <rFont val="ＭＳ ゴシック"/>
        <family val="3"/>
        <charset val="128"/>
      </rPr>
      <t>1</t>
    </r>
    <r>
      <rPr>
        <sz val="10"/>
        <rFont val="ＭＳ ゴシック"/>
        <family val="3"/>
        <charset val="128"/>
      </rPr>
      <t>＋Ｌ</t>
    </r>
    <r>
      <rPr>
        <vertAlign val="subscript"/>
        <sz val="10"/>
        <rFont val="ＭＳ ゴシック"/>
        <family val="3"/>
        <charset val="128"/>
      </rPr>
      <t>2</t>
    </r>
    <r>
      <rPr>
        <sz val="10"/>
        <rFont val="ＭＳ ゴシック"/>
        <family val="3"/>
        <charset val="128"/>
      </rPr>
      <t>Ｔ</t>
    </r>
    <r>
      <rPr>
        <vertAlign val="subscript"/>
        <sz val="10"/>
        <rFont val="ＭＳ ゴシック"/>
        <family val="3"/>
        <charset val="128"/>
      </rPr>
      <t>1</t>
    </r>
    <phoneticPr fontId="6"/>
  </si>
  <si>
    <t>＝　</t>
    <phoneticPr fontId="6"/>
  </si>
  <si>
    <t>＋（</t>
    <phoneticPr fontId="6"/>
  </si>
  <si>
    <t>）＝</t>
    <phoneticPr fontId="6"/>
  </si>
  <si>
    <t>※送出しヤード　安全通路単価</t>
    <rPh sb="1" eb="3">
      <t>オクリダ</t>
    </rPh>
    <rPh sb="8" eb="10">
      <t>アンゼン</t>
    </rPh>
    <rPh sb="10" eb="12">
      <t>ツウロ</t>
    </rPh>
    <rPh sb="12" eb="14">
      <t>タンカ</t>
    </rPh>
    <phoneticPr fontId="6"/>
  </si>
  <si>
    <r>
      <t>（Ｎ</t>
    </r>
    <r>
      <rPr>
        <vertAlign val="subscript"/>
        <sz val="10"/>
        <rFont val="ＭＳ ゴシック"/>
        <family val="3"/>
        <charset val="128"/>
      </rPr>
      <t>1</t>
    </r>
    <r>
      <rPr>
        <sz val="10"/>
        <rFont val="ＭＳ ゴシック"/>
        <family val="3"/>
        <charset val="128"/>
      </rPr>
      <t>＋Ｎ</t>
    </r>
    <r>
      <rPr>
        <vertAlign val="subscript"/>
        <sz val="10"/>
        <rFont val="ＭＳ ゴシック"/>
        <family val="3"/>
        <charset val="128"/>
      </rPr>
      <t>2</t>
    </r>
    <r>
      <rPr>
        <sz val="10"/>
        <rFont val="ＭＳ ゴシック"/>
        <family val="3"/>
        <charset val="128"/>
      </rPr>
      <t>）ｙ</t>
    </r>
    <phoneticPr fontId="6"/>
  </si>
  <si>
    <t>）×</t>
    <phoneticPr fontId="6"/>
  </si>
  <si>
    <t>　＝</t>
    <phoneticPr fontId="6"/>
  </si>
  <si>
    <r>
      <t>　Ｌ</t>
    </r>
    <r>
      <rPr>
        <vertAlign val="subscript"/>
        <sz val="10"/>
        <rFont val="ＭＳ ゴシック"/>
        <family val="3"/>
        <charset val="128"/>
      </rPr>
      <t>1</t>
    </r>
    <r>
      <rPr>
        <sz val="10"/>
        <rFont val="ＭＳ ゴシック"/>
        <family val="3"/>
        <charset val="128"/>
      </rPr>
      <t>＋Ｌ</t>
    </r>
    <r>
      <rPr>
        <vertAlign val="subscript"/>
        <sz val="10"/>
        <rFont val="ＭＳ ゴシック"/>
        <family val="3"/>
        <charset val="128"/>
      </rPr>
      <t>2</t>
    </r>
    <r>
      <rPr>
        <sz val="10"/>
        <rFont val="ＭＳ ゴシック"/>
        <family val="3"/>
        <charset val="128"/>
      </rPr>
      <t>Ｔ</t>
    </r>
    <r>
      <rPr>
        <vertAlign val="subscript"/>
        <sz val="10"/>
        <rFont val="ＭＳ ゴシック"/>
        <family val="3"/>
        <charset val="128"/>
      </rPr>
      <t>3</t>
    </r>
    <phoneticPr fontId="6"/>
  </si>
  <si>
    <t>＝　</t>
    <phoneticPr fontId="6"/>
  </si>
  <si>
    <t>※登り桟橋単価</t>
    <rPh sb="1" eb="2">
      <t>ノボ</t>
    </rPh>
    <rPh sb="3" eb="5">
      <t>サンバシ</t>
    </rPh>
    <rPh sb="5" eb="7">
      <t>タンカ</t>
    </rPh>
    <phoneticPr fontId="6"/>
  </si>
  <si>
    <r>
      <t>（Ｎ</t>
    </r>
    <r>
      <rPr>
        <vertAlign val="subscript"/>
        <sz val="10"/>
        <rFont val="ＭＳ ゴシック"/>
        <family val="3"/>
        <charset val="128"/>
      </rPr>
      <t>1</t>
    </r>
    <r>
      <rPr>
        <sz val="10"/>
        <rFont val="ＭＳ ゴシック"/>
        <family val="3"/>
        <charset val="128"/>
      </rPr>
      <t>＋Ｎ</t>
    </r>
    <r>
      <rPr>
        <vertAlign val="subscript"/>
        <sz val="10"/>
        <rFont val="ＭＳ ゴシック"/>
        <family val="3"/>
        <charset val="128"/>
      </rPr>
      <t>2</t>
    </r>
    <r>
      <rPr>
        <sz val="10"/>
        <rFont val="ＭＳ ゴシック"/>
        <family val="3"/>
        <charset val="128"/>
      </rPr>
      <t>）ｙ</t>
    </r>
    <phoneticPr fontId="6"/>
  </si>
  <si>
    <t>円/ｍ</t>
    <rPh sb="0" eb="1">
      <t>エン</t>
    </rPh>
    <phoneticPr fontId="6"/>
  </si>
  <si>
    <r>
      <t>5116+2917Ｔ</t>
    </r>
    <r>
      <rPr>
        <vertAlign val="subscript"/>
        <sz val="10"/>
        <rFont val="ＭＳ ゴシック"/>
        <family val="3"/>
        <charset val="128"/>
      </rPr>
      <t>12</t>
    </r>
    <phoneticPr fontId="6"/>
  </si>
  <si>
    <t>×</t>
    <phoneticPr fontId="6"/>
  </si>
  <si>
    <t>　＝</t>
    <phoneticPr fontId="6"/>
  </si>
  <si>
    <t>第１－20号　継手部現場塗装工内訳書</t>
  </si>
  <si>
    <t>素地調整工</t>
  </si>
  <si>
    <r>
      <t>ｍ</t>
    </r>
    <r>
      <rPr>
        <vertAlign val="superscript"/>
        <sz val="10"/>
        <rFont val="ＭＳ ゴシック"/>
        <family val="3"/>
        <charset val="128"/>
      </rPr>
      <t>2</t>
    </r>
    <phoneticPr fontId="6"/>
  </si>
  <si>
    <t>塗装面積Ａ＝</t>
    <phoneticPr fontId="6"/>
  </si>
  <si>
    <t>塗装作業工</t>
  </si>
  <si>
    <t>塗装回数</t>
    <phoneticPr fontId="6"/>
  </si>
  <si>
    <t>回</t>
  </si>
  <si>
    <t>(はけ・ﾛｰﾗ- による塗装作業とする)</t>
    <rPh sb="12" eb="14">
      <t>トソウ</t>
    </rPh>
    <rPh sb="14" eb="16">
      <t>サギョウ</t>
    </rPh>
    <phoneticPr fontId="6"/>
  </si>
  <si>
    <t>ミストコート</t>
    <phoneticPr fontId="6"/>
  </si>
  <si>
    <t>変性ｴﾎﾟｷｼ樹脂塗装下塗</t>
    <rPh sb="0" eb="2">
      <t>ヘンセイ</t>
    </rPh>
    <rPh sb="7" eb="9">
      <t>ジュシ</t>
    </rPh>
    <rPh sb="9" eb="11">
      <t>トソウ</t>
    </rPh>
    <rPh sb="11" eb="13">
      <t>シタヌ</t>
    </rPh>
    <phoneticPr fontId="6"/>
  </si>
  <si>
    <r>
      <t>円/ｍ</t>
    </r>
    <r>
      <rPr>
        <vertAlign val="superscript"/>
        <sz val="10"/>
        <rFont val="ＭＳ ゴシック"/>
        <family val="3"/>
        <charset val="128"/>
      </rPr>
      <t>2</t>
    </r>
    <rPh sb="0" eb="1">
      <t>エン</t>
    </rPh>
    <phoneticPr fontId="6"/>
  </si>
  <si>
    <t>×</t>
    <phoneticPr fontId="6"/>
  </si>
  <si>
    <t>回＝</t>
    <rPh sb="0" eb="1">
      <t>カイ</t>
    </rPh>
    <phoneticPr fontId="6"/>
  </si>
  <si>
    <t>下　塗　り</t>
    <rPh sb="0" eb="1">
      <t>シタ</t>
    </rPh>
    <rPh sb="2" eb="3">
      <t>ヌリ</t>
    </rPh>
    <phoneticPr fontId="6"/>
  </si>
  <si>
    <t>越厚膜形ｴﾎﾟｷｼ樹脂塗料</t>
    <rPh sb="0" eb="1">
      <t>コ</t>
    </rPh>
    <rPh sb="1" eb="2">
      <t>アツ</t>
    </rPh>
    <rPh sb="2" eb="3">
      <t>マク</t>
    </rPh>
    <rPh sb="3" eb="4">
      <t>カタチ</t>
    </rPh>
    <rPh sb="9" eb="11">
      <t>ジュシ</t>
    </rPh>
    <rPh sb="11" eb="13">
      <t>トリョウ</t>
    </rPh>
    <phoneticPr fontId="6"/>
  </si>
  <si>
    <t>中　塗　り</t>
    <rPh sb="0" eb="1">
      <t>ナカ</t>
    </rPh>
    <rPh sb="2" eb="3">
      <t>ヌリ</t>
    </rPh>
    <phoneticPr fontId="6"/>
  </si>
  <si>
    <t>ふっ素樹脂塗料用中塗</t>
    <rPh sb="2" eb="3">
      <t>ソ</t>
    </rPh>
    <rPh sb="3" eb="5">
      <t>ジュシ</t>
    </rPh>
    <rPh sb="5" eb="8">
      <t>トリョウヨウ</t>
    </rPh>
    <rPh sb="8" eb="10">
      <t>ナカヌリ</t>
    </rPh>
    <phoneticPr fontId="6"/>
  </si>
  <si>
    <t>上　塗　り</t>
    <rPh sb="0" eb="1">
      <t>ウエ</t>
    </rPh>
    <rPh sb="2" eb="3">
      <t>ヌリ</t>
    </rPh>
    <phoneticPr fontId="6"/>
  </si>
  <si>
    <t>ふっ素樹脂塗料上塗</t>
    <rPh sb="2" eb="3">
      <t>ソ</t>
    </rPh>
    <rPh sb="3" eb="5">
      <t>ジュシ</t>
    </rPh>
    <rPh sb="5" eb="7">
      <t>トリョウ</t>
    </rPh>
    <rPh sb="7" eb="9">
      <t>ウワヌリ</t>
    </rPh>
    <phoneticPr fontId="6"/>
  </si>
  <si>
    <t>下　塗　り</t>
    <rPh sb="0" eb="1">
      <t>シタ</t>
    </rPh>
    <rPh sb="2" eb="3">
      <t>ヌ</t>
    </rPh>
    <phoneticPr fontId="6"/>
  </si>
  <si>
    <t>×</t>
    <phoneticPr fontId="6"/>
  </si>
  <si>
    <t>第１－21号　桁端処理工内訳書</t>
  </si>
  <si>
    <t>＝</t>
    <phoneticPr fontId="6"/>
  </si>
  <si>
    <t>名        称</t>
  </si>
  <si>
    <t>トラッククレーン賃料</t>
  </si>
  <si>
    <t>125kVA</t>
    <phoneticPr fontId="6"/>
  </si>
  <si>
    <t>主桁上フランジシール工内訳書</t>
    <phoneticPr fontId="6"/>
  </si>
  <si>
    <t>125kVA</t>
    <phoneticPr fontId="6"/>
  </si>
  <si>
    <t>シール材</t>
    <phoneticPr fontId="6"/>
  </si>
  <si>
    <t>ｍ×（</t>
    <phoneticPr fontId="6"/>
  </si>
  <si>
    <t>労務・材料費</t>
    <rPh sb="3" eb="5">
      <t>ザイリョウ</t>
    </rPh>
    <phoneticPr fontId="6"/>
  </si>
  <si>
    <t>合成床版接合部シール工内訳書</t>
  </si>
  <si>
    <t>シール材</t>
    <phoneticPr fontId="6"/>
  </si>
  <si>
    <t>ｍ×（</t>
    <phoneticPr fontId="6"/>
  </si>
  <si>
    <t>＋</t>
    <phoneticPr fontId="6"/>
  </si>
  <si>
    <t>）×</t>
    <phoneticPr fontId="6"/>
  </si>
  <si>
    <t>第１－２２号　現場溶接検査費内訳書</t>
  </si>
  <si>
    <t>（平均板厚</t>
  </si>
  <si>
    <t>ｍｍ）</t>
    <phoneticPr fontId="6"/>
  </si>
  <si>
    <t>現場溶接検査</t>
    <rPh sb="0" eb="2">
      <t>ゲンバ</t>
    </rPh>
    <rPh sb="2" eb="4">
      <t>ヨウセツ</t>
    </rPh>
    <rPh sb="4" eb="6">
      <t>ケンサ</t>
    </rPh>
    <phoneticPr fontId="6"/>
  </si>
  <si>
    <t>ｍ</t>
    <phoneticPr fontId="6"/>
  </si>
  <si>
    <t>立会検査</t>
    <rPh sb="0" eb="2">
      <t>タチア</t>
    </rPh>
    <rPh sb="2" eb="4">
      <t>ケンサ</t>
    </rPh>
    <phoneticPr fontId="6"/>
  </si>
  <si>
    <t>計</t>
    <rPh sb="0" eb="1">
      <t>ケイ</t>
    </rPh>
    <phoneticPr fontId="6"/>
  </si>
  <si>
    <t>送出し工法（少数I桁）　架設工事工程表</t>
  </si>
  <si>
    <t>　</t>
    <phoneticPr fontId="6"/>
  </si>
  <si>
    <t>工程</t>
    <rPh sb="0" eb="2">
      <t>コウテイ</t>
    </rPh>
    <phoneticPr fontId="6"/>
  </si>
  <si>
    <t>（日）</t>
    <rPh sb="1" eb="2">
      <t>ニチ</t>
    </rPh>
    <phoneticPr fontId="6"/>
  </si>
  <si>
    <t>作　　業</t>
    <rPh sb="0" eb="4">
      <t>サギョウ</t>
    </rPh>
    <phoneticPr fontId="6"/>
  </si>
  <si>
    <t>所要日数</t>
    <rPh sb="0" eb="2">
      <t>ショヨウ</t>
    </rPh>
    <rPh sb="2" eb="4">
      <t>ニッスウ</t>
    </rPh>
    <phoneticPr fontId="6"/>
  </si>
  <si>
    <t>稼働日数</t>
    <rPh sb="0" eb="2">
      <t>カドウ</t>
    </rPh>
    <rPh sb="2" eb="4">
      <t>ニッスウ</t>
    </rPh>
    <phoneticPr fontId="6"/>
  </si>
  <si>
    <t>備考</t>
    <rPh sb="0" eb="2">
      <t>ビコウ</t>
    </rPh>
    <phoneticPr fontId="6"/>
  </si>
  <si>
    <t>（日数）</t>
    <rPh sb="1" eb="3">
      <t>ニッスウ</t>
    </rPh>
    <phoneticPr fontId="6"/>
  </si>
  <si>
    <t>作業順</t>
    <rPh sb="0" eb="2">
      <t>サギョウ</t>
    </rPh>
    <rPh sb="2" eb="3">
      <t>ジュン</t>
    </rPh>
    <phoneticPr fontId="6"/>
  </si>
  <si>
    <t>設置</t>
    <rPh sb="0" eb="2">
      <t>セッチ</t>
    </rPh>
    <phoneticPr fontId="6"/>
  </si>
  <si>
    <t>撤去</t>
    <rPh sb="0" eb="2">
      <t>テッキョ</t>
    </rPh>
    <phoneticPr fontId="6"/>
  </si>
  <si>
    <t>軌条桁工</t>
    <rPh sb="0" eb="3">
      <t>キジョウケタ</t>
    </rPh>
    <rPh sb="3" eb="4">
      <t>コウ</t>
    </rPh>
    <phoneticPr fontId="6"/>
  </si>
  <si>
    <t>組立</t>
    <rPh sb="0" eb="2">
      <t>クミタテ</t>
    </rPh>
    <phoneticPr fontId="6"/>
  </si>
  <si>
    <t>解体</t>
    <rPh sb="0" eb="2">
      <t>カイタイ</t>
    </rPh>
    <phoneticPr fontId="6"/>
  </si>
  <si>
    <t>敷設</t>
    <rPh sb="0" eb="2">
      <t>フセツ</t>
    </rPh>
    <phoneticPr fontId="6"/>
  </si>
  <si>
    <t>降下設備工</t>
    <rPh sb="0" eb="2">
      <t>コウカ</t>
    </rPh>
    <rPh sb="2" eb="4">
      <t>セツビ</t>
    </rPh>
    <rPh sb="4" eb="5">
      <t>コウ</t>
    </rPh>
    <phoneticPr fontId="6"/>
  </si>
  <si>
    <t>据付</t>
    <rPh sb="0" eb="2">
      <t>スエツケ</t>
    </rPh>
    <phoneticPr fontId="6"/>
  </si>
  <si>
    <t>溶接用架台設備工</t>
    <rPh sb="0" eb="3">
      <t>ヨウセツヨウ</t>
    </rPh>
    <rPh sb="3" eb="5">
      <t>カダイ</t>
    </rPh>
    <rPh sb="5" eb="7">
      <t>セツビ</t>
    </rPh>
    <rPh sb="7" eb="8">
      <t>コウ</t>
    </rPh>
    <phoneticPr fontId="6"/>
  </si>
  <si>
    <t>桁架設工</t>
  </si>
  <si>
    <t>　</t>
    <phoneticPr fontId="6"/>
  </si>
  <si>
    <t>桁送出し工</t>
    <rPh sb="0" eb="1">
      <t>ケタ</t>
    </rPh>
    <rPh sb="1" eb="3">
      <t>オクリダ</t>
    </rPh>
    <rPh sb="4" eb="5">
      <t>コウ</t>
    </rPh>
    <phoneticPr fontId="6"/>
  </si>
  <si>
    <t>桁降下工</t>
    <rPh sb="0" eb="1">
      <t>ケタ</t>
    </rPh>
    <rPh sb="1" eb="3">
      <t>コウカ</t>
    </rPh>
    <rPh sb="3" eb="4">
      <t>コウ</t>
    </rPh>
    <phoneticPr fontId="6"/>
  </si>
  <si>
    <t>桁横取り工</t>
    <rPh sb="0" eb="1">
      <t>ケタ</t>
    </rPh>
    <rPh sb="1" eb="3">
      <t>ヨコド</t>
    </rPh>
    <rPh sb="4" eb="5">
      <t>コウ</t>
    </rPh>
    <phoneticPr fontId="6"/>
  </si>
  <si>
    <t>横桁架設工</t>
    <rPh sb="0" eb="1">
      <t>ヨコ</t>
    </rPh>
    <rPh sb="1" eb="2">
      <t>ケタ</t>
    </rPh>
    <rPh sb="2" eb="4">
      <t>カセツ</t>
    </rPh>
    <rPh sb="4" eb="5">
      <t>コウ</t>
    </rPh>
    <phoneticPr fontId="6"/>
  </si>
  <si>
    <t>　</t>
    <phoneticPr fontId="6"/>
  </si>
  <si>
    <t>支承据付工</t>
  </si>
  <si>
    <t>落橋防止装置</t>
  </si>
  <si>
    <t>足場工</t>
    <rPh sb="0" eb="3">
      <t>アシバコウ</t>
    </rPh>
    <phoneticPr fontId="6"/>
  </si>
  <si>
    <t>架設用足場</t>
  </si>
  <si>
    <t>ヤード足場</t>
    <phoneticPr fontId="6"/>
  </si>
  <si>
    <t>登り桟橋</t>
  </si>
  <si>
    <t>現場継手部塗装工</t>
  </si>
  <si>
    <t>　</t>
    <phoneticPr fontId="6"/>
  </si>
  <si>
    <t>桁端処理工</t>
    <rPh sb="0" eb="1">
      <t>ケタ</t>
    </rPh>
    <rPh sb="1" eb="2">
      <t>タン</t>
    </rPh>
    <rPh sb="2" eb="4">
      <t>ショリ</t>
    </rPh>
    <phoneticPr fontId="6"/>
  </si>
  <si>
    <t>架設機材</t>
    <rPh sb="0" eb="2">
      <t>カセツ</t>
    </rPh>
    <rPh sb="2" eb="4">
      <t>キザイ</t>
    </rPh>
    <phoneticPr fontId="6"/>
  </si>
  <si>
    <t>ベント基礎、ベント設備</t>
    <rPh sb="3" eb="5">
      <t>キソ</t>
    </rPh>
    <rPh sb="9" eb="11">
      <t>セツビ</t>
    </rPh>
    <phoneticPr fontId="6"/>
  </si>
  <si>
    <t>　</t>
    <phoneticPr fontId="6"/>
  </si>
  <si>
    <t>軌条桁</t>
    <rPh sb="0" eb="3">
      <t>キジョウケタ</t>
    </rPh>
    <phoneticPr fontId="6"/>
  </si>
  <si>
    <t>軌条設備</t>
    <rPh sb="0" eb="2">
      <t>キジョウ</t>
    </rPh>
    <rPh sb="2" eb="4">
      <t>セツビ</t>
    </rPh>
    <phoneticPr fontId="6"/>
  </si>
  <si>
    <t>　</t>
    <phoneticPr fontId="6"/>
  </si>
  <si>
    <t>　</t>
    <phoneticPr fontId="6"/>
  </si>
  <si>
    <t>手延機・連結構</t>
    <rPh sb="0" eb="3">
      <t>テノベキ</t>
    </rPh>
    <rPh sb="4" eb="6">
      <t>レンケツ</t>
    </rPh>
    <rPh sb="6" eb="7">
      <t>コウ</t>
    </rPh>
    <phoneticPr fontId="6"/>
  </si>
  <si>
    <t>　</t>
    <phoneticPr fontId="6"/>
  </si>
  <si>
    <t>送出し設備</t>
    <rPh sb="0" eb="2">
      <t>オクリダ</t>
    </rPh>
    <rPh sb="3" eb="5">
      <t>セツビ</t>
    </rPh>
    <phoneticPr fontId="6"/>
  </si>
  <si>
    <t>ケーブルクレーン設備</t>
    <rPh sb="8" eb="10">
      <t>セツビ</t>
    </rPh>
    <phoneticPr fontId="6"/>
  </si>
  <si>
    <t>ドリフトピン、仮締めボルト</t>
    <rPh sb="7" eb="8">
      <t>カリ</t>
    </rPh>
    <rPh sb="8" eb="9">
      <t>シ</t>
    </rPh>
    <phoneticPr fontId="6"/>
  </si>
  <si>
    <t>架設区間足場（主体足場）</t>
    <rPh sb="0" eb="2">
      <t>カセツ</t>
    </rPh>
    <rPh sb="2" eb="4">
      <t>クカン</t>
    </rPh>
    <rPh sb="4" eb="6">
      <t>アシバ</t>
    </rPh>
    <rPh sb="7" eb="9">
      <t>シュタイ</t>
    </rPh>
    <rPh sb="9" eb="11">
      <t>アシバ</t>
    </rPh>
    <phoneticPr fontId="6"/>
  </si>
  <si>
    <t>架設区間足場（その他）</t>
    <rPh sb="0" eb="2">
      <t>カセツ</t>
    </rPh>
    <rPh sb="2" eb="4">
      <t>クカン</t>
    </rPh>
    <rPh sb="4" eb="6">
      <t>アシバ</t>
    </rPh>
    <rPh sb="9" eb="10">
      <t>タ</t>
    </rPh>
    <phoneticPr fontId="6"/>
  </si>
  <si>
    <t>送出しヤード足場</t>
    <rPh sb="0" eb="2">
      <t>オクリダ</t>
    </rPh>
    <rPh sb="6" eb="8">
      <t>アシバ</t>
    </rPh>
    <phoneticPr fontId="6"/>
  </si>
  <si>
    <t>地組溶接用架台</t>
    <rPh sb="0" eb="1">
      <t>チ</t>
    </rPh>
    <rPh sb="1" eb="2">
      <t>グミ</t>
    </rPh>
    <rPh sb="2" eb="5">
      <t>ヨウセツヨウ</t>
    </rPh>
    <rPh sb="5" eb="7">
      <t>カダイ</t>
    </rPh>
    <phoneticPr fontId="6"/>
  </si>
  <si>
    <t>現場溶接用使用機械器具</t>
    <rPh sb="0" eb="2">
      <t>ゲンバ</t>
    </rPh>
    <rPh sb="2" eb="5">
      <t>ヨウセツヨウ</t>
    </rPh>
    <rPh sb="5" eb="7">
      <t>シヨウ</t>
    </rPh>
    <rPh sb="7" eb="9">
      <t>キカイ</t>
    </rPh>
    <rPh sb="9" eb="11">
      <t>キグ</t>
    </rPh>
    <phoneticPr fontId="6"/>
  </si>
  <si>
    <t>溶接用ケーシング設備</t>
    <rPh sb="0" eb="3">
      <t>ヨウセツヨウ</t>
    </rPh>
    <rPh sb="8" eb="10">
      <t>セツビ</t>
    </rPh>
    <phoneticPr fontId="6"/>
  </si>
  <si>
    <t>注）１．稼働日数は、所要日数を１．７倍した日数である。（現場継手部溶接工は１．７倍とする）</t>
    <phoneticPr fontId="6"/>
  </si>
  <si>
    <t>　　２．稼動日数の２／３を設置、１／３を撤去とする。</t>
    <rPh sb="4" eb="6">
      <t>カドウ</t>
    </rPh>
    <rPh sb="6" eb="8">
      <t>ニッスウ</t>
    </rPh>
    <rPh sb="13" eb="15">
      <t>セッチ</t>
    </rPh>
    <rPh sb="20" eb="22">
      <t>テッキョ</t>
    </rPh>
    <phoneticPr fontId="6"/>
  </si>
  <si>
    <t>　　３．送出し設備組立・解体、主桁組立等は、所要日数を送出し回数で等分した。</t>
    <rPh sb="4" eb="6">
      <t>オクリダ</t>
    </rPh>
    <rPh sb="7" eb="9">
      <t>セツビ</t>
    </rPh>
    <rPh sb="9" eb="11">
      <t>クミタテ</t>
    </rPh>
    <rPh sb="12" eb="14">
      <t>カイタイ</t>
    </rPh>
    <rPh sb="15" eb="16">
      <t>シュ</t>
    </rPh>
    <rPh sb="16" eb="17">
      <t>ケタ</t>
    </rPh>
    <rPh sb="17" eb="19">
      <t>クミタテ</t>
    </rPh>
    <rPh sb="19" eb="20">
      <t>トウ</t>
    </rPh>
    <rPh sb="22" eb="24">
      <t>ショヨウ</t>
    </rPh>
    <rPh sb="24" eb="26">
      <t>ニッスウ</t>
    </rPh>
    <rPh sb="27" eb="29">
      <t>オクリダ</t>
    </rPh>
    <rPh sb="30" eb="32">
      <t>カイスウ</t>
    </rPh>
    <rPh sb="33" eb="35">
      <t>トウブン</t>
    </rPh>
    <phoneticPr fontId="6"/>
  </si>
  <si>
    <t>　　４．高力ボルト本締工は、所要日数を送出し回数（横桁組立工がある場合は＋１）で等分した。</t>
    <rPh sb="4" eb="5">
      <t>コウ</t>
    </rPh>
    <rPh sb="5" eb="6">
      <t>リョク</t>
    </rPh>
    <rPh sb="9" eb="10">
      <t>ホン</t>
    </rPh>
    <rPh sb="10" eb="11">
      <t>ジ</t>
    </rPh>
    <rPh sb="11" eb="12">
      <t>コウ</t>
    </rPh>
    <rPh sb="14" eb="16">
      <t>ショヨウ</t>
    </rPh>
    <rPh sb="16" eb="18">
      <t>ニッスウ</t>
    </rPh>
    <rPh sb="19" eb="21">
      <t>オクリダ</t>
    </rPh>
    <rPh sb="22" eb="24">
      <t>カイスウ</t>
    </rPh>
    <rPh sb="25" eb="26">
      <t>ヨコ</t>
    </rPh>
    <rPh sb="26" eb="27">
      <t>ケタ</t>
    </rPh>
    <rPh sb="27" eb="29">
      <t>クミタテ</t>
    </rPh>
    <rPh sb="29" eb="30">
      <t>コウ</t>
    </rPh>
    <rPh sb="33" eb="35">
      <t>バアイ</t>
    </rPh>
    <rPh sb="40" eb="42">
      <t>トウブン</t>
    </rPh>
    <phoneticPr fontId="6"/>
  </si>
  <si>
    <t>　　５．架設機材の工程は、設置から撤去までを示したものであり、積算上の供用日数とは異なる場合がある。</t>
    <rPh sb="4" eb="6">
      <t>カセツ</t>
    </rPh>
    <rPh sb="6" eb="8">
      <t>キザイ</t>
    </rPh>
    <rPh sb="9" eb="11">
      <t>コウテイ</t>
    </rPh>
    <rPh sb="13" eb="15">
      <t>セッチ</t>
    </rPh>
    <rPh sb="17" eb="19">
      <t>テッキョ</t>
    </rPh>
    <rPh sb="22" eb="23">
      <t>シメ</t>
    </rPh>
    <rPh sb="31" eb="33">
      <t>セキサン</t>
    </rPh>
    <rPh sb="33" eb="34">
      <t>ジョウ</t>
    </rPh>
    <rPh sb="35" eb="37">
      <t>キョウヨウ</t>
    </rPh>
    <rPh sb="37" eb="39">
      <t>ニッスウ</t>
    </rPh>
    <rPh sb="41" eb="42">
      <t>コト</t>
    </rPh>
    <rPh sb="44" eb="46">
      <t>バアイ</t>
    </rPh>
    <phoneticPr fontId="6"/>
  </si>
  <si>
    <t>送出し工法（少数I桁）（令和２年度対応）</t>
    <rPh sb="12" eb="14">
      <t>レイワ</t>
    </rPh>
    <rPh sb="15" eb="17">
      <t>ネンド</t>
    </rPh>
    <rPh sb="17" eb="19">
      <t>タイオウ</t>
    </rPh>
    <phoneticPr fontId="3"/>
  </si>
  <si>
    <t>ｃ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</si>
</sst>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176" formatCode="0.0"/>
    <numFmt numFmtId="177" formatCode="0.000"/>
    <numFmt numFmtId="178" formatCode="0.0_ "/>
    <numFmt numFmtId="179" formatCode="#,##0_ "/>
    <numFmt numFmtId="180" formatCode="#,##0.00_ "/>
    <numFmt numFmtId="181" formatCode="0.E+00"/>
    <numFmt numFmtId="182" formatCode="0.0_);[Red]\(0.0\)"/>
    <numFmt numFmtId="183" formatCode="0_ "/>
  </numFmts>
  <fonts count="17">
    <font>
      <sz val="11"/>
      <color theme="1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name val="ＭＳ ゴシック"/>
      <family val="3"/>
      <charset val="128"/>
    </font>
    <font>
      <vertAlign val="superscript"/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vertAlign val="subscript"/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color indexed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0"/>
      </bottom>
      <diagonal/>
    </border>
    <border>
      <left style="thin">
        <color indexed="64"/>
      </left>
      <right/>
      <top/>
      <bottom style="medium">
        <color indexed="0"/>
      </bottom>
      <diagonal/>
    </border>
    <border>
      <left/>
      <right/>
      <top/>
      <bottom style="medium">
        <color indexed="0"/>
      </bottom>
      <diagonal/>
    </border>
    <border>
      <left/>
      <right style="thin">
        <color indexed="64"/>
      </right>
      <top/>
      <bottom style="medium">
        <color indexed="0"/>
      </bottom>
      <diagonal/>
    </border>
    <border>
      <left style="thin">
        <color indexed="64"/>
      </left>
      <right style="thin">
        <color indexed="0"/>
      </right>
      <top/>
      <bottom style="medium">
        <color indexed="0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721">
    <xf numFmtId="0" fontId="0" fillId="0" borderId="0" xfId="0">
      <alignment vertical="center"/>
    </xf>
    <xf numFmtId="0" fontId="2" fillId="0" borderId="0" xfId="1" applyNumberFormat="1" applyFont="1" applyFill="1"/>
    <xf numFmtId="0" fontId="1" fillId="0" borderId="0" xfId="1" applyNumberFormat="1" applyFont="1" applyFill="1"/>
    <xf numFmtId="0" fontId="4" fillId="0" borderId="0" xfId="1" applyNumberFormat="1" applyFont="1" applyFill="1"/>
    <xf numFmtId="0" fontId="1" fillId="0" borderId="0" xfId="1" applyNumberFormat="1" applyFont="1" applyFill="1" applyAlignment="1"/>
    <xf numFmtId="0" fontId="1" fillId="0" borderId="0" xfId="1" applyNumberFormat="1" applyFont="1" applyFill="1" applyAlignment="1">
      <alignment shrinkToFit="1"/>
    </xf>
    <xf numFmtId="0" fontId="1" fillId="0" borderId="0" xfId="1" applyNumberFormat="1" applyFont="1" applyFill="1" applyAlignment="1">
      <alignment horizontal="center"/>
    </xf>
    <xf numFmtId="0" fontId="1" fillId="2" borderId="0" xfId="1" applyNumberFormat="1" applyFont="1" applyFill="1" applyAlignment="1">
      <alignment horizontal="center"/>
    </xf>
    <xf numFmtId="176" fontId="1" fillId="2" borderId="0" xfId="1" applyNumberFormat="1" applyFont="1" applyFill="1" applyAlignment="1">
      <alignment horizontal="center"/>
    </xf>
    <xf numFmtId="0" fontId="1" fillId="0" borderId="0" xfId="1" applyNumberFormat="1" applyFont="1" applyFill="1" applyAlignment="1">
      <alignment horizontal="center"/>
    </xf>
    <xf numFmtId="176" fontId="1" fillId="3" borderId="0" xfId="1" applyNumberFormat="1" applyFont="1" applyFill="1" applyAlignment="1">
      <alignment horizontal="center"/>
    </xf>
    <xf numFmtId="0" fontId="1" fillId="0" borderId="0" xfId="1" applyNumberFormat="1" applyFont="1" applyFill="1" applyAlignment="1">
      <alignment horizontal="left"/>
    </xf>
    <xf numFmtId="176" fontId="1" fillId="0" borderId="0" xfId="1" applyNumberFormat="1" applyFont="1" applyFill="1" applyAlignment="1">
      <alignment horizontal="center"/>
    </xf>
    <xf numFmtId="176" fontId="1" fillId="0" borderId="0" xfId="1" applyNumberFormat="1" applyFont="1" applyFill="1"/>
    <xf numFmtId="0" fontId="1" fillId="0" borderId="0" xfId="1" applyNumberFormat="1" applyFont="1" applyFill="1" applyAlignment="1">
      <alignment horizontal="center" shrinkToFit="1"/>
    </xf>
    <xf numFmtId="0" fontId="1" fillId="0" borderId="0" xfId="1" applyNumberFormat="1" applyFont="1" applyFill="1" applyAlignment="1">
      <alignment horizontal="center" shrinkToFit="1"/>
    </xf>
    <xf numFmtId="2" fontId="1" fillId="2" borderId="0" xfId="1" applyNumberFormat="1" applyFont="1" applyFill="1" applyAlignment="1">
      <alignment horizontal="center"/>
    </xf>
    <xf numFmtId="176" fontId="1" fillId="0" borderId="0" xfId="1" applyNumberFormat="1" applyFont="1" applyFill="1" applyAlignment="1"/>
    <xf numFmtId="0" fontId="1" fillId="3" borderId="0" xfId="1" applyNumberFormat="1" applyFont="1" applyFill="1" applyAlignment="1">
      <alignment horizontal="center"/>
    </xf>
    <xf numFmtId="1" fontId="1" fillId="2" borderId="0" xfId="1" applyNumberFormat="1" applyFont="1" applyFill="1" applyAlignment="1">
      <alignment horizontal="center"/>
    </xf>
    <xf numFmtId="0" fontId="1" fillId="0" borderId="0" xfId="1" applyNumberFormat="1" applyFont="1" applyFill="1" applyAlignment="1">
      <alignment horizontal="left" shrinkToFit="1"/>
    </xf>
    <xf numFmtId="176" fontId="1" fillId="2" borderId="0" xfId="1" applyNumberFormat="1" applyFont="1" applyFill="1" applyAlignment="1">
      <alignment horizontal="center" shrinkToFit="1"/>
    </xf>
    <xf numFmtId="0" fontId="4" fillId="0" borderId="0" xfId="1" applyNumberFormat="1" applyFont="1" applyFill="1" applyAlignment="1">
      <alignment horizontal="left"/>
    </xf>
    <xf numFmtId="0" fontId="1" fillId="0" borderId="1" xfId="1" applyNumberFormat="1" applyFont="1" applyFill="1" applyBorder="1"/>
    <xf numFmtId="0" fontId="1" fillId="0" borderId="2" xfId="1" applyNumberFormat="1" applyFont="1" applyFill="1" applyBorder="1"/>
    <xf numFmtId="0" fontId="1" fillId="0" borderId="3" xfId="1" applyNumberFormat="1" applyFont="1" applyFill="1" applyBorder="1"/>
    <xf numFmtId="0" fontId="1" fillId="0" borderId="4" xfId="1" applyNumberFormat="1" applyFont="1" applyFill="1" applyBorder="1" applyAlignment="1">
      <alignment horizontal="center" shrinkToFit="1"/>
    </xf>
    <xf numFmtId="0" fontId="1" fillId="0" borderId="1" xfId="1" applyNumberFormat="1" applyFont="1" applyFill="1" applyBorder="1" applyAlignment="1">
      <alignment horizontal="center"/>
    </xf>
    <xf numFmtId="0" fontId="1" fillId="0" borderId="2" xfId="1" applyNumberFormat="1" applyFont="1" applyFill="1" applyBorder="1" applyAlignment="1">
      <alignment horizontal="center"/>
    </xf>
    <xf numFmtId="0" fontId="1" fillId="0" borderId="3" xfId="1" applyNumberFormat="1" applyFont="1" applyFill="1" applyBorder="1" applyAlignment="1">
      <alignment horizontal="center"/>
    </xf>
    <xf numFmtId="0" fontId="1" fillId="0" borderId="0" xfId="1" applyNumberFormat="1" applyFont="1" applyFill="1" applyBorder="1" applyAlignment="1">
      <alignment horizontal="center"/>
    </xf>
    <xf numFmtId="0" fontId="1" fillId="0" borderId="1" xfId="1" applyNumberFormat="1" applyFont="1" applyFill="1" applyBorder="1" applyAlignment="1">
      <alignment horizontal="left"/>
    </xf>
    <xf numFmtId="0" fontId="1" fillId="0" borderId="2" xfId="1" applyNumberFormat="1" applyFont="1" applyFill="1" applyBorder="1" applyAlignment="1">
      <alignment horizontal="left"/>
    </xf>
    <xf numFmtId="0" fontId="1" fillId="0" borderId="4" xfId="1" applyNumberFormat="1" applyFont="1" applyFill="1" applyBorder="1"/>
    <xf numFmtId="0" fontId="1" fillId="2" borderId="1" xfId="1" applyNumberFormat="1" applyFont="1" applyFill="1" applyBorder="1" applyAlignment="1">
      <alignment horizontal="right"/>
    </xf>
    <xf numFmtId="0" fontId="1" fillId="2" borderId="3" xfId="1" applyNumberFormat="1" applyFont="1" applyFill="1" applyBorder="1" applyAlignment="1">
      <alignment horizontal="right"/>
    </xf>
    <xf numFmtId="0" fontId="1" fillId="0" borderId="1" xfId="1" applyNumberFormat="1" applyFont="1" applyFill="1" applyBorder="1" applyAlignment="1">
      <alignment horizontal="right"/>
    </xf>
    <xf numFmtId="0" fontId="1" fillId="0" borderId="3" xfId="1" applyNumberFormat="1" applyFont="1" applyFill="1" applyBorder="1" applyAlignment="1">
      <alignment horizontal="right"/>
    </xf>
    <xf numFmtId="0" fontId="1" fillId="0" borderId="0" xfId="1" applyNumberFormat="1" applyFont="1" applyFill="1" applyBorder="1"/>
    <xf numFmtId="0" fontId="1" fillId="0" borderId="4" xfId="1" applyNumberFormat="1" applyFont="1" applyFill="1" applyBorder="1" applyAlignment="1">
      <alignment horizontal="center"/>
    </xf>
    <xf numFmtId="0" fontId="1" fillId="0" borderId="3" xfId="1" applyNumberFormat="1" applyFont="1" applyFill="1" applyBorder="1" applyAlignment="1">
      <alignment horizontal="left"/>
    </xf>
    <xf numFmtId="176" fontId="1" fillId="2" borderId="4" xfId="1" applyNumberFormat="1" applyFont="1" applyFill="1" applyBorder="1" applyAlignment="1">
      <alignment horizontal="right"/>
    </xf>
    <xf numFmtId="176" fontId="1" fillId="3" borderId="1" xfId="1" applyNumberFormat="1" applyFont="1" applyFill="1" applyBorder="1" applyAlignment="1">
      <alignment horizontal="right"/>
    </xf>
    <xf numFmtId="176" fontId="1" fillId="3" borderId="3" xfId="1" applyNumberFormat="1" applyFont="1" applyFill="1" applyBorder="1" applyAlignment="1">
      <alignment horizontal="right"/>
    </xf>
    <xf numFmtId="0" fontId="1" fillId="3" borderId="1" xfId="1" applyNumberFormat="1" applyFont="1" applyFill="1" applyBorder="1" applyAlignment="1">
      <alignment horizontal="right"/>
    </xf>
    <xf numFmtId="0" fontId="1" fillId="3" borderId="3" xfId="1" applyNumberFormat="1" applyFont="1" applyFill="1" applyBorder="1" applyAlignment="1">
      <alignment horizontal="right"/>
    </xf>
    <xf numFmtId="0" fontId="1" fillId="0" borderId="0" xfId="1" applyNumberFormat="1" applyFont="1" applyFill="1" applyBorder="1" applyAlignment="1">
      <alignment horizontal="center" shrinkToFit="1"/>
    </xf>
    <xf numFmtId="176" fontId="1" fillId="0" borderId="0" xfId="1" applyNumberFormat="1" applyFont="1" applyFill="1" applyBorder="1" applyAlignment="1">
      <alignment horizontal="center"/>
    </xf>
    <xf numFmtId="0" fontId="1" fillId="0" borderId="4" xfId="1" applyNumberFormat="1" applyFont="1" applyFill="1" applyBorder="1" applyAlignment="1">
      <alignment horizontal="center"/>
    </xf>
    <xf numFmtId="177" fontId="1" fillId="4" borderId="0" xfId="1" applyNumberFormat="1" applyFont="1" applyFill="1" applyAlignment="1">
      <alignment horizontal="center"/>
    </xf>
    <xf numFmtId="0" fontId="1" fillId="3" borderId="5" xfId="1" applyNumberFormat="1" applyFont="1" applyFill="1" applyBorder="1" applyAlignment="1">
      <alignment horizontal="center" shrinkToFit="1"/>
    </xf>
    <xf numFmtId="0" fontId="1" fillId="0" borderId="5" xfId="1" applyNumberFormat="1" applyFont="1" applyFill="1" applyBorder="1" applyAlignment="1">
      <alignment horizontal="left"/>
    </xf>
    <xf numFmtId="2" fontId="1" fillId="4" borderId="0" xfId="1" applyNumberFormat="1" applyFont="1" applyFill="1" applyAlignment="1">
      <alignment horizontal="center"/>
    </xf>
    <xf numFmtId="2" fontId="1" fillId="3" borderId="0" xfId="1" applyNumberFormat="1" applyFont="1" applyFill="1" applyAlignment="1">
      <alignment horizontal="center"/>
    </xf>
    <xf numFmtId="0" fontId="1" fillId="4" borderId="0" xfId="1" applyNumberFormat="1" applyFont="1" applyFill="1" applyAlignment="1">
      <alignment horizontal="center"/>
    </xf>
    <xf numFmtId="176" fontId="1" fillId="3" borderId="0" xfId="1" applyNumberFormat="1" applyFont="1" applyFill="1" applyBorder="1" applyAlignment="1">
      <alignment horizontal="center"/>
    </xf>
    <xf numFmtId="0" fontId="1" fillId="0" borderId="0" xfId="1" applyNumberFormat="1" applyFont="1" applyFill="1" applyBorder="1" applyAlignment="1">
      <alignment horizontal="left"/>
    </xf>
    <xf numFmtId="176" fontId="1" fillId="4" borderId="0" xfId="1" applyNumberFormat="1" applyFont="1" applyFill="1" applyAlignment="1">
      <alignment horizontal="center"/>
    </xf>
    <xf numFmtId="176" fontId="1" fillId="3" borderId="5" xfId="1" applyNumberFormat="1" applyFont="1" applyFill="1" applyBorder="1" applyAlignment="1">
      <alignment horizontal="center"/>
    </xf>
    <xf numFmtId="0" fontId="1" fillId="0" borderId="4" xfId="2" applyNumberFormat="1" applyFont="1" applyFill="1" applyBorder="1" applyAlignment="1">
      <alignment horizontal="center" vertical="center"/>
    </xf>
    <xf numFmtId="0" fontId="1" fillId="0" borderId="3" xfId="2" applyNumberFormat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center" vertical="center" shrinkToFit="1"/>
    </xf>
    <xf numFmtId="0" fontId="1" fillId="0" borderId="2" xfId="2" applyNumberFormat="1" applyFont="1" applyFill="1" applyBorder="1" applyAlignment="1">
      <alignment horizontal="center" vertical="center" shrinkToFit="1"/>
    </xf>
    <xf numFmtId="0" fontId="1" fillId="0" borderId="3" xfId="2" applyNumberFormat="1" applyFont="1" applyFill="1" applyBorder="1" applyAlignment="1">
      <alignment horizontal="center" vertical="center" shrinkToFit="1"/>
    </xf>
    <xf numFmtId="0" fontId="1" fillId="0" borderId="4" xfId="2" applyNumberFormat="1" applyFont="1" applyFill="1" applyBorder="1" applyAlignment="1">
      <alignment horizontal="center" vertical="center"/>
    </xf>
    <xf numFmtId="0" fontId="1" fillId="0" borderId="7" xfId="2" applyNumberFormat="1" applyFont="1" applyFill="1" applyBorder="1" applyAlignment="1">
      <alignment horizontal="left"/>
    </xf>
    <xf numFmtId="0" fontId="1" fillId="0" borderId="8" xfId="2" applyNumberFormat="1" applyFont="1" applyFill="1" applyBorder="1" applyAlignment="1">
      <alignment horizontal="left"/>
    </xf>
    <xf numFmtId="0" fontId="1" fillId="0" borderId="9" xfId="2" applyNumberFormat="1" applyFont="1" applyFill="1" applyBorder="1" applyAlignment="1">
      <alignment horizontal="left"/>
    </xf>
    <xf numFmtId="176" fontId="1" fillId="3" borderId="7" xfId="2" applyNumberFormat="1" applyFont="1" applyFill="1" applyBorder="1" applyAlignment="1">
      <alignment horizontal="center"/>
    </xf>
    <xf numFmtId="176" fontId="1" fillId="3" borderId="8" xfId="2" applyNumberFormat="1" applyFont="1" applyFill="1" applyBorder="1" applyAlignment="1">
      <alignment horizontal="center"/>
    </xf>
    <xf numFmtId="176" fontId="1" fillId="0" borderId="2" xfId="2" applyNumberFormat="1" applyFont="1" applyFill="1" applyBorder="1" applyAlignment="1">
      <alignment horizontal="center"/>
    </xf>
    <xf numFmtId="176" fontId="1" fillId="0" borderId="3" xfId="2" applyNumberFormat="1" applyFont="1" applyFill="1" applyBorder="1" applyAlignment="1">
      <alignment horizontal="center"/>
    </xf>
    <xf numFmtId="0" fontId="1" fillId="0" borderId="6" xfId="1" applyNumberFormat="1" applyFont="1" applyFill="1" applyBorder="1"/>
    <xf numFmtId="0" fontId="7" fillId="0" borderId="4" xfId="2" applyNumberFormat="1" applyFont="1" applyFill="1" applyBorder="1" applyAlignment="1">
      <alignment horizontal="center"/>
    </xf>
    <xf numFmtId="0" fontId="1" fillId="0" borderId="10" xfId="1" applyNumberFormat="1" applyFont="1" applyFill="1" applyBorder="1"/>
    <xf numFmtId="0" fontId="1" fillId="0" borderId="4" xfId="2" applyNumberFormat="1" applyFont="1" applyFill="1" applyBorder="1" applyAlignment="1">
      <alignment horizontal="center"/>
    </xf>
    <xf numFmtId="0" fontId="1" fillId="0" borderId="11" xfId="2" applyNumberFormat="1" applyFont="1" applyFill="1" applyBorder="1" applyAlignment="1">
      <alignment horizontal="center"/>
    </xf>
    <xf numFmtId="0" fontId="1" fillId="0" borderId="12" xfId="2" applyNumberFormat="1" applyFont="1" applyFill="1" applyBorder="1" applyAlignment="1">
      <alignment horizontal="center"/>
    </xf>
    <xf numFmtId="176" fontId="1" fillId="3" borderId="4" xfId="2" applyNumberFormat="1" applyFont="1" applyFill="1" applyBorder="1" applyAlignment="1">
      <alignment horizontal="center"/>
    </xf>
    <xf numFmtId="0" fontId="1" fillId="2" borderId="6" xfId="1" applyNumberFormat="1" applyFont="1" applyFill="1" applyBorder="1" applyAlignment="1">
      <alignment horizontal="center"/>
    </xf>
    <xf numFmtId="0" fontId="1" fillId="0" borderId="4" xfId="2" applyNumberFormat="1" applyFont="1" applyFill="1" applyBorder="1" applyAlignment="1">
      <alignment horizontal="center"/>
    </xf>
    <xf numFmtId="0" fontId="1" fillId="0" borderId="12" xfId="1" applyNumberFormat="1" applyFont="1" applyFill="1" applyBorder="1"/>
    <xf numFmtId="0" fontId="1" fillId="0" borderId="13" xfId="2" applyNumberFormat="1" applyFont="1" applyFill="1" applyBorder="1" applyAlignment="1">
      <alignment horizontal="center"/>
    </xf>
    <xf numFmtId="0" fontId="1" fillId="0" borderId="14" xfId="2" applyNumberFormat="1" applyFont="1" applyFill="1" applyBorder="1" applyAlignment="1">
      <alignment horizontal="center"/>
    </xf>
    <xf numFmtId="0" fontId="1" fillId="0" borderId="2" xfId="2" applyNumberFormat="1" applyFont="1" applyFill="1" applyBorder="1" applyAlignment="1">
      <alignment horizontal="center"/>
    </xf>
    <xf numFmtId="0" fontId="1" fillId="0" borderId="3" xfId="2" applyNumberFormat="1" applyFont="1" applyFill="1" applyBorder="1" applyAlignment="1">
      <alignment horizontal="center"/>
    </xf>
    <xf numFmtId="0" fontId="1" fillId="0" borderId="15" xfId="1" applyNumberFormat="1" applyFont="1" applyFill="1" applyBorder="1"/>
    <xf numFmtId="0" fontId="1" fillId="0" borderId="4" xfId="2" applyNumberFormat="1" applyFont="1" applyFill="1" applyBorder="1" applyAlignment="1">
      <alignment horizontal="left"/>
    </xf>
    <xf numFmtId="176" fontId="1" fillId="3" borderId="1" xfId="2" applyNumberFormat="1" applyFont="1" applyFill="1" applyBorder="1" applyAlignment="1">
      <alignment horizontal="center"/>
    </xf>
    <xf numFmtId="176" fontId="1" fillId="3" borderId="2" xfId="2" applyNumberFormat="1" applyFont="1" applyFill="1" applyBorder="1" applyAlignment="1">
      <alignment horizontal="center"/>
    </xf>
    <xf numFmtId="0" fontId="1" fillId="0" borderId="16" xfId="2" applyNumberFormat="1" applyFont="1" applyFill="1" applyBorder="1" applyAlignment="1">
      <alignment horizontal="left"/>
    </xf>
    <xf numFmtId="0" fontId="1" fillId="0" borderId="8" xfId="2" applyNumberFormat="1" applyFont="1" applyFill="1" applyBorder="1" applyAlignment="1">
      <alignment horizontal="center"/>
    </xf>
    <xf numFmtId="0" fontId="1" fillId="0" borderId="9" xfId="2" applyNumberFormat="1" applyFont="1" applyFill="1" applyBorder="1" applyAlignment="1">
      <alignment horizontal="center"/>
    </xf>
    <xf numFmtId="0" fontId="1" fillId="2" borderId="17" xfId="1" applyNumberFormat="1" applyFont="1" applyFill="1" applyBorder="1" applyAlignment="1">
      <alignment horizontal="center"/>
    </xf>
    <xf numFmtId="0" fontId="7" fillId="0" borderId="16" xfId="2" applyNumberFormat="1" applyFont="1" applyFill="1" applyBorder="1" applyAlignment="1">
      <alignment horizontal="center"/>
    </xf>
    <xf numFmtId="0" fontId="1" fillId="0" borderId="14" xfId="2" applyNumberFormat="1" applyFont="1" applyFill="1" applyBorder="1" applyAlignment="1">
      <alignment horizontal="left"/>
    </xf>
    <xf numFmtId="176" fontId="1" fillId="3" borderId="15" xfId="2" applyNumberFormat="1" applyFont="1" applyFill="1" applyBorder="1" applyAlignment="1">
      <alignment horizontal="center"/>
    </xf>
    <xf numFmtId="176" fontId="1" fillId="3" borderId="18" xfId="2" applyNumberFormat="1" applyFont="1" applyFill="1" applyBorder="1" applyAlignment="1">
      <alignment horizontal="center"/>
    </xf>
    <xf numFmtId="0" fontId="1" fillId="0" borderId="18" xfId="2" applyNumberFormat="1" applyFont="1" applyFill="1" applyBorder="1" applyAlignment="1">
      <alignment horizontal="center"/>
    </xf>
    <xf numFmtId="0" fontId="1" fillId="0" borderId="19" xfId="1" applyNumberFormat="1" applyFont="1" applyFill="1" applyBorder="1"/>
    <xf numFmtId="0" fontId="7" fillId="0" borderId="14" xfId="2" applyNumberFormat="1" applyFont="1" applyFill="1" applyBorder="1" applyAlignment="1">
      <alignment horizontal="center"/>
    </xf>
    <xf numFmtId="0" fontId="9" fillId="0" borderId="4" xfId="2" applyNumberFormat="1" applyFont="1" applyFill="1" applyBorder="1" applyAlignment="1">
      <alignment horizontal="center"/>
    </xf>
    <xf numFmtId="0" fontId="1" fillId="0" borderId="20" xfId="2" applyNumberFormat="1" applyFont="1" applyFill="1" applyBorder="1" applyAlignment="1">
      <alignment horizontal="left"/>
    </xf>
    <xf numFmtId="176" fontId="1" fillId="3" borderId="21" xfId="2" applyNumberFormat="1" applyFont="1" applyFill="1" applyBorder="1" applyAlignment="1">
      <alignment horizontal="center"/>
    </xf>
    <xf numFmtId="176" fontId="1" fillId="3" borderId="22" xfId="2" applyNumberFormat="1" applyFont="1" applyFill="1" applyBorder="1" applyAlignment="1">
      <alignment horizontal="center"/>
    </xf>
    <xf numFmtId="0" fontId="1" fillId="0" borderId="22" xfId="2" applyNumberFormat="1" applyFont="1" applyFill="1" applyBorder="1" applyAlignment="1">
      <alignment horizontal="center"/>
    </xf>
    <xf numFmtId="0" fontId="1" fillId="0" borderId="23" xfId="2" applyNumberFormat="1" applyFont="1" applyFill="1" applyBorder="1" applyAlignment="1">
      <alignment horizontal="center"/>
    </xf>
    <xf numFmtId="0" fontId="1" fillId="2" borderId="24" xfId="1" applyNumberFormat="1" applyFont="1" applyFill="1" applyBorder="1" applyAlignment="1">
      <alignment horizontal="center"/>
    </xf>
    <xf numFmtId="0" fontId="7" fillId="0" borderId="20" xfId="2" applyNumberFormat="1" applyFont="1" applyFill="1" applyBorder="1" applyAlignment="1">
      <alignment horizontal="center"/>
    </xf>
    <xf numFmtId="0" fontId="1" fillId="0" borderId="25" xfId="2" applyNumberFormat="1" applyFont="1" applyFill="1" applyBorder="1" applyAlignment="1">
      <alignment horizontal="left"/>
    </xf>
    <xf numFmtId="176" fontId="1" fillId="3" borderId="26" xfId="2" applyNumberFormat="1" applyFont="1" applyFill="1" applyBorder="1" applyAlignment="1">
      <alignment horizontal="center"/>
    </xf>
    <xf numFmtId="176" fontId="1" fillId="3" borderId="27" xfId="2" applyNumberFormat="1" applyFont="1" applyFill="1" applyBorder="1" applyAlignment="1">
      <alignment horizontal="center"/>
    </xf>
    <xf numFmtId="0" fontId="1" fillId="0" borderId="27" xfId="2" applyNumberFormat="1" applyFont="1" applyFill="1" applyBorder="1" applyAlignment="1">
      <alignment horizontal="center"/>
    </xf>
    <xf numFmtId="0" fontId="1" fillId="0" borderId="28" xfId="2" applyNumberFormat="1" applyFont="1" applyFill="1" applyBorder="1" applyAlignment="1">
      <alignment horizontal="center"/>
    </xf>
    <xf numFmtId="0" fontId="1" fillId="2" borderId="29" xfId="1" applyNumberFormat="1" applyFont="1" applyFill="1" applyBorder="1" applyAlignment="1">
      <alignment horizontal="center"/>
    </xf>
    <xf numFmtId="0" fontId="7" fillId="0" borderId="25" xfId="2" applyNumberFormat="1" applyFont="1" applyFill="1" applyBorder="1" applyAlignment="1">
      <alignment horizontal="center"/>
    </xf>
    <xf numFmtId="176" fontId="1" fillId="0" borderId="18" xfId="2" applyNumberFormat="1" applyFont="1" applyFill="1" applyBorder="1" applyAlignment="1">
      <alignment horizontal="center"/>
    </xf>
    <xf numFmtId="176" fontId="1" fillId="0" borderId="13" xfId="2" applyNumberFormat="1" applyFont="1" applyFill="1" applyBorder="1" applyAlignment="1">
      <alignment horizontal="center"/>
    </xf>
    <xf numFmtId="0" fontId="1" fillId="0" borderId="14" xfId="2" applyNumberFormat="1" applyFont="1" applyFill="1" applyBorder="1" applyAlignment="1">
      <alignment horizontal="center"/>
    </xf>
    <xf numFmtId="1" fontId="1" fillId="3" borderId="0" xfId="1" applyNumberFormat="1" applyFont="1" applyFill="1" applyAlignment="1">
      <alignment horizontal="center"/>
    </xf>
    <xf numFmtId="49" fontId="1" fillId="0" borderId="0" xfId="1" applyNumberFormat="1" applyFont="1" applyFill="1" applyAlignment="1">
      <alignment horizontal="center"/>
    </xf>
    <xf numFmtId="0" fontId="4" fillId="0" borderId="0" xfId="2" applyNumberFormat="1" applyFont="1" applyFill="1"/>
    <xf numFmtId="0" fontId="1" fillId="0" borderId="0" xfId="2" applyNumberFormat="1" applyFont="1" applyFill="1"/>
    <xf numFmtId="0" fontId="1" fillId="0" borderId="0" xfId="2" applyNumberFormat="1" applyFont="1" applyFill="1" applyAlignment="1">
      <alignment horizontal="center"/>
    </xf>
    <xf numFmtId="0" fontId="1" fillId="0" borderId="0" xfId="2" applyNumberFormat="1" applyFont="1" applyFill="1" applyAlignment="1"/>
    <xf numFmtId="176" fontId="1" fillId="0" borderId="0" xfId="2" applyNumberFormat="1" applyFont="1" applyFill="1" applyAlignment="1">
      <alignment horizontal="center"/>
    </xf>
    <xf numFmtId="176" fontId="1" fillId="0" borderId="0" xfId="2" quotePrefix="1" applyNumberFormat="1" applyFont="1" applyFill="1" applyAlignment="1">
      <alignment horizontal="center"/>
    </xf>
    <xf numFmtId="0" fontId="1" fillId="0" borderId="0" xfId="2" quotePrefix="1" applyNumberFormat="1" applyFont="1" applyFill="1"/>
    <xf numFmtId="0" fontId="1" fillId="0" borderId="0" xfId="2" quotePrefix="1" applyNumberFormat="1" applyFont="1" applyFill="1" applyAlignment="1">
      <alignment horizontal="left"/>
    </xf>
    <xf numFmtId="176" fontId="1" fillId="3" borderId="5" xfId="2" applyNumberFormat="1" applyFont="1" applyFill="1" applyBorder="1" applyAlignment="1">
      <alignment horizontal="center" shrinkToFit="1"/>
    </xf>
    <xf numFmtId="0" fontId="1" fillId="0" borderId="5" xfId="2" applyNumberFormat="1" applyFont="1" applyFill="1" applyBorder="1" applyAlignment="1"/>
    <xf numFmtId="176" fontId="1" fillId="3" borderId="0" xfId="2" applyNumberFormat="1" applyFont="1" applyFill="1" applyAlignment="1">
      <alignment horizontal="center"/>
    </xf>
    <xf numFmtId="1" fontId="1" fillId="3" borderId="0" xfId="2" applyNumberFormat="1" applyFont="1" applyFill="1" applyAlignment="1">
      <alignment horizontal="center"/>
    </xf>
    <xf numFmtId="176" fontId="1" fillId="3" borderId="4" xfId="2" applyNumberFormat="1" applyFont="1" applyFill="1" applyBorder="1" applyAlignment="1">
      <alignment horizontal="center" shrinkToFit="1"/>
    </xf>
    <xf numFmtId="0" fontId="1" fillId="0" borderId="20" xfId="2" applyNumberFormat="1" applyFont="1" applyFill="1" applyBorder="1" applyAlignment="1">
      <alignment horizontal="center"/>
    </xf>
    <xf numFmtId="176" fontId="1" fillId="3" borderId="20" xfId="2" applyNumberFormat="1" applyFont="1" applyFill="1" applyBorder="1" applyAlignment="1">
      <alignment horizontal="center" shrinkToFit="1"/>
    </xf>
    <xf numFmtId="176" fontId="1" fillId="3" borderId="14" xfId="2" applyNumberFormat="1" applyFont="1" applyFill="1" applyBorder="1" applyAlignment="1">
      <alignment horizontal="center" shrinkToFit="1"/>
    </xf>
    <xf numFmtId="176" fontId="1" fillId="3" borderId="0" xfId="2" applyNumberFormat="1" applyFont="1" applyFill="1" applyAlignment="1">
      <alignment horizontal="center" shrinkToFit="1"/>
    </xf>
    <xf numFmtId="0" fontId="1" fillId="0" borderId="0" xfId="2" applyNumberFormat="1" applyFont="1" applyFill="1" applyAlignment="1">
      <alignment horizontal="center"/>
    </xf>
    <xf numFmtId="2" fontId="1" fillId="3" borderId="0" xfId="2" applyNumberFormat="1" applyFont="1" applyFill="1" applyAlignment="1">
      <alignment horizontal="center"/>
    </xf>
    <xf numFmtId="1" fontId="1" fillId="0" borderId="0" xfId="2" applyNumberFormat="1" applyFont="1" applyFill="1" applyAlignment="1">
      <alignment horizontal="center"/>
    </xf>
    <xf numFmtId="0" fontId="1" fillId="0" borderId="0" xfId="1" applyFill="1"/>
    <xf numFmtId="0" fontId="2" fillId="0" borderId="0" xfId="1" applyFont="1" applyFill="1"/>
    <xf numFmtId="0" fontId="4" fillId="0" borderId="0" xfId="1" applyFont="1" applyFill="1"/>
    <xf numFmtId="0" fontId="1" fillId="0" borderId="0" xfId="1" applyFont="1" applyFill="1" applyBorder="1" applyAlignment="1"/>
    <xf numFmtId="176" fontId="1" fillId="4" borderId="0" xfId="1" applyNumberFormat="1" applyFill="1" applyBorder="1" applyAlignment="1">
      <alignment horizontal="center"/>
    </xf>
    <xf numFmtId="0" fontId="1" fillId="0" borderId="0" xfId="1" applyFont="1" applyFill="1" applyBorder="1"/>
    <xf numFmtId="176" fontId="1" fillId="0" borderId="0" xfId="1" applyNumberFormat="1" applyFill="1" applyBorder="1" applyAlignment="1">
      <alignment horizontal="center"/>
    </xf>
    <xf numFmtId="0" fontId="1" fillId="0" borderId="0" xfId="1" applyFill="1" applyBorder="1"/>
    <xf numFmtId="0" fontId="1" fillId="0" borderId="0" xfId="1" applyFon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176" fontId="1" fillId="3" borderId="0" xfId="1" applyNumberFormat="1" applyFill="1" applyBorder="1" applyAlignment="1">
      <alignment horizontal="center"/>
    </xf>
    <xf numFmtId="176" fontId="1" fillId="4" borderId="0" xfId="1" applyNumberFormat="1" applyFont="1" applyFill="1" applyBorder="1" applyAlignment="1">
      <alignment horizontal="center"/>
    </xf>
    <xf numFmtId="176" fontId="1" fillId="0" borderId="0" xfId="1" applyNumberFormat="1" applyFont="1" applyFill="1" applyBorder="1" applyAlignment="1"/>
    <xf numFmtId="0" fontId="1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176" fontId="1" fillId="3" borderId="0" xfId="1" applyNumberFormat="1" applyFill="1" applyAlignment="1">
      <alignment horizontal="center"/>
    </xf>
    <xf numFmtId="0" fontId="1" fillId="0" borderId="0" xfId="1" applyFont="1" applyFill="1"/>
    <xf numFmtId="176" fontId="1" fillId="0" borderId="0" xfId="1" applyNumberFormat="1" applyFill="1" applyAlignment="1">
      <alignment horizontal="center"/>
    </xf>
    <xf numFmtId="1" fontId="1" fillId="0" borderId="0" xfId="1" applyNumberFormat="1" applyFill="1" applyAlignment="1">
      <alignment horizontal="center"/>
    </xf>
    <xf numFmtId="0" fontId="1" fillId="0" borderId="0" xfId="1" applyFill="1" applyBorder="1" applyAlignment="1">
      <alignment horizontal="center" shrinkToFit="1"/>
    </xf>
    <xf numFmtId="176" fontId="1" fillId="3" borderId="0" xfId="1" applyNumberFormat="1" applyFill="1" applyAlignment="1">
      <alignment horizontal="center" shrinkToFit="1"/>
    </xf>
    <xf numFmtId="176" fontId="1" fillId="3" borderId="5" xfId="1" applyNumberFormat="1" applyFill="1" applyBorder="1" applyAlignment="1">
      <alignment horizontal="center"/>
    </xf>
    <xf numFmtId="0" fontId="1" fillId="0" borderId="5" xfId="1" applyFont="1" applyFill="1" applyBorder="1"/>
    <xf numFmtId="178" fontId="1" fillId="0" borderId="0" xfId="1" applyNumberFormat="1" applyFill="1" applyAlignment="1">
      <alignment horizontal="center"/>
    </xf>
    <xf numFmtId="1" fontId="1" fillId="3" borderId="0" xfId="1" applyNumberFormat="1" applyFill="1" applyAlignment="1">
      <alignment horizontal="center"/>
    </xf>
    <xf numFmtId="0" fontId="1" fillId="0" borderId="0" xfId="1" applyFont="1" applyFill="1" applyAlignment="1"/>
    <xf numFmtId="0" fontId="1" fillId="0" borderId="0" xfId="1" applyFont="1" applyFill="1" applyAlignment="1">
      <alignment horizontal="right"/>
    </xf>
    <xf numFmtId="0" fontId="1" fillId="0" borderId="0" xfId="1" applyFont="1" applyFill="1" applyAlignment="1">
      <alignment horizontal="left"/>
    </xf>
    <xf numFmtId="0" fontId="1" fillId="0" borderId="30" xfId="1" applyFont="1" applyFill="1" applyBorder="1"/>
    <xf numFmtId="0" fontId="1" fillId="0" borderId="31" xfId="1" applyFill="1" applyBorder="1"/>
    <xf numFmtId="0" fontId="1" fillId="0" borderId="32" xfId="1" applyFill="1" applyBorder="1"/>
    <xf numFmtId="0" fontId="1" fillId="0" borderId="33" xfId="1" applyFill="1" applyBorder="1"/>
    <xf numFmtId="0" fontId="1" fillId="0" borderId="34" xfId="1" applyFill="1" applyBorder="1"/>
    <xf numFmtId="176" fontId="1" fillId="0" borderId="0" xfId="1" applyNumberFormat="1" applyFont="1" applyFill="1" applyBorder="1"/>
    <xf numFmtId="176" fontId="1" fillId="0" borderId="0" xfId="1" applyNumberFormat="1" applyFill="1" applyBorder="1"/>
    <xf numFmtId="49" fontId="1" fillId="0" borderId="0" xfId="1" applyNumberFormat="1" applyFont="1" applyFill="1" applyBorder="1" applyAlignment="1">
      <alignment horizontal="center"/>
    </xf>
    <xf numFmtId="177" fontId="1" fillId="0" borderId="0" xfId="1" applyNumberFormat="1" applyFill="1" applyBorder="1" applyAlignment="1">
      <alignment horizontal="center" shrinkToFit="1"/>
    </xf>
    <xf numFmtId="2" fontId="1" fillId="3" borderId="0" xfId="1" applyNumberFormat="1" applyFill="1" applyBorder="1" applyAlignment="1">
      <alignment horizontal="center"/>
    </xf>
    <xf numFmtId="2" fontId="1" fillId="3" borderId="5" xfId="1" applyNumberForma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2" fontId="1" fillId="0" borderId="0" xfId="1" applyNumberFormat="1" applyFill="1" applyBorder="1" applyAlignment="1">
      <alignment horizontal="center"/>
    </xf>
    <xf numFmtId="0" fontId="1" fillId="0" borderId="0" xfId="1" applyFont="1" applyFill="1" applyBorder="1" applyAlignment="1">
      <alignment horizontal="center" vertical="center"/>
    </xf>
    <xf numFmtId="0" fontId="1" fillId="0" borderId="18" xfId="1" applyFill="1" applyBorder="1" applyAlignment="1">
      <alignment horizontal="center"/>
    </xf>
    <xf numFmtId="176" fontId="1" fillId="3" borderId="18" xfId="1" applyNumberFormat="1" applyFill="1" applyBorder="1" applyAlignment="1">
      <alignment horizontal="center"/>
    </xf>
    <xf numFmtId="2" fontId="1" fillId="3" borderId="0" xfId="1" applyNumberFormat="1" applyFont="1" applyFill="1" applyBorder="1" applyAlignment="1">
      <alignment horizontal="center" vertical="center"/>
    </xf>
    <xf numFmtId="1" fontId="1" fillId="3" borderId="0" xfId="1" applyNumberFormat="1" applyFill="1" applyBorder="1" applyAlignment="1">
      <alignment horizontal="center"/>
    </xf>
    <xf numFmtId="0" fontId="1" fillId="0" borderId="0" xfId="1" applyFill="1" applyBorder="1" applyAlignment="1"/>
    <xf numFmtId="0" fontId="1" fillId="3" borderId="5" xfId="1" applyFill="1" applyBorder="1" applyAlignment="1">
      <alignment horizontal="center"/>
    </xf>
    <xf numFmtId="2" fontId="1" fillId="3" borderId="5" xfId="1" applyNumberFormat="1" applyFill="1" applyBorder="1" applyAlignment="1">
      <alignment horizontal="center" shrinkToFit="1"/>
    </xf>
    <xf numFmtId="0" fontId="1" fillId="0" borderId="5" xfId="1" applyFont="1" applyFill="1" applyBorder="1" applyAlignment="1"/>
    <xf numFmtId="0" fontId="0" fillId="0" borderId="0" xfId="0" applyAlignment="1">
      <alignment vertical="center"/>
    </xf>
    <xf numFmtId="1" fontId="1" fillId="3" borderId="5" xfId="1" applyNumberFormat="1" applyFill="1" applyBorder="1" applyAlignment="1">
      <alignment horizontal="center"/>
    </xf>
    <xf numFmtId="0" fontId="1" fillId="0" borderId="35" xfId="1" applyFill="1" applyBorder="1"/>
    <xf numFmtId="0" fontId="1" fillId="0" borderId="36" xfId="1" applyFill="1" applyBorder="1"/>
    <xf numFmtId="0" fontId="1" fillId="0" borderId="37" xfId="1" applyFill="1" applyBorder="1"/>
    <xf numFmtId="176" fontId="1" fillId="2" borderId="0" xfId="1" applyNumberFormat="1" applyFill="1" applyBorder="1" applyAlignment="1">
      <alignment horizontal="center"/>
    </xf>
    <xf numFmtId="177" fontId="1" fillId="3" borderId="0" xfId="1" applyNumberFormat="1" applyFill="1" applyBorder="1" applyAlignment="1">
      <alignment horizontal="center" shrinkToFit="1"/>
    </xf>
    <xf numFmtId="0" fontId="1" fillId="0" borderId="0" xfId="1" applyNumberFormat="1" applyFill="1" applyBorder="1" applyAlignment="1">
      <alignment horizontal="center"/>
    </xf>
    <xf numFmtId="0" fontId="1" fillId="3" borderId="0" xfId="1" applyNumberFormat="1" applyFill="1" applyBorder="1" applyAlignment="1">
      <alignment horizontal="center"/>
    </xf>
    <xf numFmtId="0" fontId="1" fillId="0" borderId="0" xfId="1" applyNumberFormat="1" applyFill="1" applyAlignment="1">
      <alignment horizontal="center"/>
    </xf>
    <xf numFmtId="0" fontId="1" fillId="0" borderId="0" xfId="1" applyNumberFormat="1" applyFill="1"/>
    <xf numFmtId="2" fontId="1" fillId="3" borderId="0" xfId="1" applyNumberFormat="1" applyFill="1" applyBorder="1" applyAlignment="1">
      <alignment horizontal="center" shrinkToFit="1"/>
    </xf>
    <xf numFmtId="0" fontId="7" fillId="0" borderId="5" xfId="1" applyFont="1" applyFill="1" applyBorder="1" applyAlignment="1">
      <alignment horizontal="right"/>
    </xf>
    <xf numFmtId="0" fontId="1" fillId="0" borderId="5" xfId="1" applyFont="1" applyFill="1" applyBorder="1" applyAlignment="1">
      <alignment horizontal="center"/>
    </xf>
    <xf numFmtId="0" fontId="1" fillId="2" borderId="5" xfId="1" applyFill="1" applyBorder="1" applyAlignment="1">
      <alignment horizontal="center"/>
    </xf>
    <xf numFmtId="0" fontId="1" fillId="0" borderId="5" xfId="1" applyFill="1" applyBorder="1"/>
    <xf numFmtId="177" fontId="1" fillId="3" borderId="0" xfId="1" applyNumberFormat="1" applyFill="1" applyAlignment="1">
      <alignment horizontal="center"/>
    </xf>
    <xf numFmtId="176" fontId="1" fillId="4" borderId="0" xfId="1" applyNumberFormat="1" applyFill="1" applyAlignment="1">
      <alignment horizontal="center"/>
    </xf>
    <xf numFmtId="1" fontId="1" fillId="4" borderId="0" xfId="1" applyNumberFormat="1" applyFill="1" applyAlignment="1">
      <alignment horizontal="center"/>
    </xf>
    <xf numFmtId="0" fontId="1" fillId="3" borderId="0" xfId="1" applyFill="1" applyAlignment="1">
      <alignment horizontal="center"/>
    </xf>
    <xf numFmtId="0" fontId="7" fillId="0" borderId="0" xfId="1" applyFont="1" applyFill="1" applyAlignment="1">
      <alignment horizontal="right"/>
    </xf>
    <xf numFmtId="2" fontId="1" fillId="3" borderId="0" xfId="1" applyNumberFormat="1" applyFill="1" applyAlignment="1">
      <alignment horizontal="center"/>
    </xf>
    <xf numFmtId="0" fontId="1" fillId="4" borderId="0" xfId="1" applyFill="1" applyAlignment="1">
      <alignment horizontal="center"/>
    </xf>
    <xf numFmtId="0" fontId="1" fillId="0" borderId="0" xfId="1" applyFont="1" applyFill="1" applyAlignment="1">
      <alignment horizontal="center"/>
    </xf>
    <xf numFmtId="2" fontId="1" fillId="3" borderId="0" xfId="1" applyNumberFormat="1" applyFill="1" applyAlignment="1">
      <alignment horizontal="center" shrinkToFit="1"/>
    </xf>
    <xf numFmtId="0" fontId="1" fillId="3" borderId="0" xfId="1" applyFill="1" applyAlignment="1">
      <alignment horizontal="center" shrinkToFit="1"/>
    </xf>
    <xf numFmtId="0" fontId="1" fillId="0" borderId="0" xfId="1" applyFont="1" applyFill="1" applyAlignment="1">
      <alignment shrinkToFit="1"/>
    </xf>
    <xf numFmtId="0" fontId="1" fillId="0" borderId="0" xfId="1" applyFill="1" applyAlignment="1">
      <alignment horizontal="center"/>
    </xf>
    <xf numFmtId="0" fontId="10" fillId="0" borderId="0" xfId="1" applyFont="1" applyFill="1" applyAlignment="1">
      <alignment horizontal="center" vertical="center" textRotation="90"/>
    </xf>
    <xf numFmtId="0" fontId="1" fillId="0" borderId="33" xfId="1" applyFont="1" applyFill="1" applyBorder="1"/>
    <xf numFmtId="1" fontId="1" fillId="2" borderId="0" xfId="1" applyNumberFormat="1" applyFill="1" applyBorder="1" applyAlignment="1">
      <alignment horizontal="center"/>
    </xf>
    <xf numFmtId="0" fontId="1" fillId="0" borderId="18" xfId="1" applyFont="1" applyFill="1" applyBorder="1" applyAlignment="1">
      <alignment horizontal="center"/>
    </xf>
    <xf numFmtId="0" fontId="1" fillId="0" borderId="0" xfId="1" applyFill="1" applyBorder="1" applyAlignment="1">
      <alignment horizontal="center" vertical="center"/>
    </xf>
    <xf numFmtId="0" fontId="1" fillId="0" borderId="8" xfId="1" applyFill="1" applyBorder="1" applyAlignment="1">
      <alignment horizontal="center"/>
    </xf>
    <xf numFmtId="0" fontId="1" fillId="0" borderId="0" xfId="1" applyFill="1" applyBorder="1" applyAlignment="1">
      <alignment horizontal="center" vertical="center"/>
    </xf>
    <xf numFmtId="176" fontId="1" fillId="0" borderId="0" xfId="1" applyNumberFormat="1" applyFont="1" applyFill="1" applyBorder="1" applyAlignment="1">
      <alignment horizontal="center" vertical="center"/>
    </xf>
    <xf numFmtId="0" fontId="1" fillId="0" borderId="34" xfId="1" applyFont="1" applyFill="1" applyBorder="1"/>
    <xf numFmtId="2" fontId="1" fillId="3" borderId="18" xfId="1" applyNumberFormat="1" applyFill="1" applyBorder="1" applyAlignment="1">
      <alignment horizontal="center" shrinkToFit="1"/>
    </xf>
    <xf numFmtId="0" fontId="1" fillId="0" borderId="18" xfId="1" applyFont="1" applyFill="1" applyBorder="1" applyAlignment="1">
      <alignment horizontal="center"/>
    </xf>
    <xf numFmtId="176" fontId="1" fillId="3" borderId="0" xfId="1" applyNumberFormat="1" applyFont="1" applyFill="1" applyBorder="1" applyAlignment="1">
      <alignment horizontal="center" vertical="center" shrinkToFit="1"/>
    </xf>
    <xf numFmtId="0" fontId="1" fillId="0" borderId="0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/>
    </xf>
    <xf numFmtId="0" fontId="1" fillId="3" borderId="0" xfId="1" applyFont="1" applyFill="1" applyBorder="1" applyAlignment="1">
      <alignment horizontal="center"/>
    </xf>
    <xf numFmtId="0" fontId="1" fillId="3" borderId="0" xfId="1" applyFill="1" applyBorder="1" applyAlignment="1">
      <alignment horizontal="center"/>
    </xf>
    <xf numFmtId="0" fontId="1" fillId="0" borderId="35" xfId="1" applyFont="1" applyFill="1" applyBorder="1"/>
    <xf numFmtId="0" fontId="1" fillId="0" borderId="36" xfId="1" applyFont="1" applyFill="1" applyBorder="1"/>
    <xf numFmtId="0" fontId="1" fillId="0" borderId="0" xfId="1" applyFill="1"/>
    <xf numFmtId="0" fontId="1" fillId="0" borderId="0" xfId="1" applyFont="1" applyFill="1" applyAlignment="1">
      <alignment horizontal="center" vertical="center" textRotation="90"/>
    </xf>
    <xf numFmtId="0" fontId="1" fillId="3" borderId="0" xfId="1" applyFont="1" applyFill="1" applyAlignment="1">
      <alignment horizontal="center"/>
    </xf>
    <xf numFmtId="0" fontId="1" fillId="0" borderId="0" xfId="1" applyFont="1" applyFill="1" applyAlignment="1"/>
    <xf numFmtId="0" fontId="1" fillId="0" borderId="0" xfId="1" applyFont="1" applyFill="1" applyAlignment="1">
      <alignment horizontal="center" shrinkToFit="1"/>
    </xf>
    <xf numFmtId="0" fontId="1" fillId="0" borderId="0" xfId="1" applyFont="1" applyFill="1" applyAlignment="1">
      <alignment horizontal="left" shrinkToFit="1"/>
    </xf>
    <xf numFmtId="0" fontId="1" fillId="0" borderId="7" xfId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1" fillId="0" borderId="15" xfId="1" applyFont="1" applyFill="1" applyBorder="1" applyAlignment="1">
      <alignment horizontal="center" vertical="center"/>
    </xf>
    <xf numFmtId="0" fontId="1" fillId="0" borderId="13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/>
    </xf>
    <xf numFmtId="2" fontId="1" fillId="2" borderId="4" xfId="1" applyNumberFormat="1" applyFont="1" applyFill="1" applyBorder="1" applyAlignment="1">
      <alignment horizontal="center"/>
    </xf>
    <xf numFmtId="176" fontId="1" fillId="3" borderId="1" xfId="1" applyNumberFormat="1" applyFont="1" applyFill="1" applyBorder="1" applyAlignment="1">
      <alignment horizontal="center"/>
    </xf>
    <xf numFmtId="176" fontId="1" fillId="3" borderId="3" xfId="1" applyNumberFormat="1" applyFont="1" applyFill="1" applyBorder="1" applyAlignment="1">
      <alignment horizontal="center"/>
    </xf>
    <xf numFmtId="2" fontId="1" fillId="0" borderId="10" xfId="1" applyNumberFormat="1" applyFont="1" applyFill="1" applyBorder="1" applyAlignment="1">
      <alignment horizontal="center"/>
    </xf>
    <xf numFmtId="2" fontId="1" fillId="0" borderId="0" xfId="1" applyNumberFormat="1" applyFont="1" applyFill="1" applyBorder="1" applyAlignment="1">
      <alignment horizontal="center"/>
    </xf>
    <xf numFmtId="1" fontId="1" fillId="0" borderId="0" xfId="1" applyNumberFormat="1" applyFont="1" applyFill="1" applyBorder="1" applyAlignment="1">
      <alignment horizontal="center"/>
    </xf>
    <xf numFmtId="2" fontId="1" fillId="3" borderId="0" xfId="1" applyNumberFormat="1" applyFont="1" applyFill="1" applyAlignment="1">
      <alignment horizontal="center" shrinkToFit="1"/>
    </xf>
    <xf numFmtId="0" fontId="1" fillId="0" borderId="0" xfId="1" applyFont="1" applyFill="1" applyAlignment="1">
      <alignment vertical="center" textRotation="90"/>
    </xf>
    <xf numFmtId="0" fontId="1" fillId="0" borderId="0" xfId="1" applyFill="1" applyAlignment="1"/>
    <xf numFmtId="0" fontId="1" fillId="0" borderId="0" xfId="1" applyFont="1" applyFill="1" applyAlignment="1">
      <alignment shrinkToFit="1"/>
    </xf>
    <xf numFmtId="177" fontId="1" fillId="0" borderId="0" xfId="1" applyNumberFormat="1" applyFill="1" applyAlignment="1">
      <alignment horizontal="center"/>
    </xf>
    <xf numFmtId="0" fontId="1" fillId="0" borderId="0" xfId="1" applyFill="1" applyAlignment="1">
      <alignment horizontal="left"/>
    </xf>
    <xf numFmtId="177" fontId="1" fillId="0" borderId="0" xfId="1" applyNumberFormat="1" applyFont="1" applyFill="1" applyAlignment="1">
      <alignment horizontal="center"/>
    </xf>
    <xf numFmtId="176" fontId="1" fillId="3" borderId="0" xfId="1" applyNumberFormat="1" applyFont="1" applyFill="1" applyAlignment="1">
      <alignment horizontal="center" shrinkToFit="1"/>
    </xf>
    <xf numFmtId="0" fontId="1" fillId="0" borderId="4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vertical="center"/>
    </xf>
    <xf numFmtId="176" fontId="1" fillId="3" borderId="4" xfId="1" applyNumberFormat="1" applyFont="1" applyFill="1" applyBorder="1" applyAlignment="1">
      <alignment horizontal="center"/>
    </xf>
    <xf numFmtId="3" fontId="1" fillId="3" borderId="1" xfId="1" applyNumberFormat="1" applyFont="1" applyFill="1" applyBorder="1" applyAlignment="1">
      <alignment horizontal="center"/>
    </xf>
    <xf numFmtId="3" fontId="1" fillId="3" borderId="3" xfId="1" applyNumberFormat="1" applyFont="1" applyFill="1" applyBorder="1" applyAlignment="1">
      <alignment horizontal="center"/>
    </xf>
    <xf numFmtId="3" fontId="1" fillId="0" borderId="0" xfId="1" applyNumberFormat="1" applyFont="1" applyFill="1" applyBorder="1" applyAlignment="1"/>
    <xf numFmtId="0" fontId="1" fillId="0" borderId="21" xfId="1" applyFont="1" applyFill="1" applyBorder="1" applyAlignment="1">
      <alignment horizontal="center"/>
    </xf>
    <xf numFmtId="0" fontId="1" fillId="0" borderId="23" xfId="1" applyFont="1" applyFill="1" applyBorder="1" applyAlignment="1">
      <alignment horizontal="center"/>
    </xf>
    <xf numFmtId="176" fontId="1" fillId="3" borderId="20" xfId="1" applyNumberFormat="1" applyFont="1" applyFill="1" applyBorder="1" applyAlignment="1">
      <alignment horizontal="center"/>
    </xf>
    <xf numFmtId="176" fontId="1" fillId="3" borderId="21" xfId="1" applyNumberFormat="1" applyFont="1" applyFill="1" applyBorder="1" applyAlignment="1">
      <alignment horizontal="center"/>
    </xf>
    <xf numFmtId="176" fontId="1" fillId="3" borderId="23" xfId="1" applyNumberFormat="1" applyFont="1" applyFill="1" applyBorder="1" applyAlignment="1">
      <alignment horizontal="center"/>
    </xf>
    <xf numFmtId="3" fontId="1" fillId="3" borderId="21" xfId="1" applyNumberFormat="1" applyFont="1" applyFill="1" applyBorder="1" applyAlignment="1">
      <alignment horizontal="center"/>
    </xf>
    <xf numFmtId="3" fontId="1" fillId="3" borderId="23" xfId="1" applyNumberFormat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8" xfId="1" applyNumberFormat="1" applyFont="1" applyFill="1" applyBorder="1" applyAlignment="1">
      <alignment horizontal="center"/>
    </xf>
    <xf numFmtId="2" fontId="1" fillId="0" borderId="13" xfId="1" applyNumberFormat="1" applyFont="1" applyFill="1" applyBorder="1" applyAlignment="1">
      <alignment horizontal="center"/>
    </xf>
    <xf numFmtId="3" fontId="1" fillId="3" borderId="38" xfId="1" applyNumberFormat="1" applyFont="1" applyFill="1" applyBorder="1" applyAlignment="1">
      <alignment horizontal="center"/>
    </xf>
    <xf numFmtId="3" fontId="1" fillId="3" borderId="39" xfId="1" applyNumberFormat="1" applyFont="1" applyFill="1" applyBorder="1" applyAlignment="1">
      <alignment horizontal="center"/>
    </xf>
    <xf numFmtId="2" fontId="1" fillId="3" borderId="1" xfId="1" applyNumberFormat="1" applyFont="1" applyFill="1" applyBorder="1" applyAlignment="1">
      <alignment horizontal="center"/>
    </xf>
    <xf numFmtId="2" fontId="1" fillId="3" borderId="3" xfId="1" applyNumberFormat="1" applyFont="1" applyFill="1" applyBorder="1" applyAlignment="1">
      <alignment horizontal="center"/>
    </xf>
    <xf numFmtId="3" fontId="1" fillId="0" borderId="0" xfId="1" applyNumberFormat="1" applyFont="1" applyFill="1" applyBorder="1" applyAlignment="1">
      <alignment horizontal="center"/>
    </xf>
    <xf numFmtId="2" fontId="1" fillId="3" borderId="21" xfId="1" applyNumberFormat="1" applyFont="1" applyFill="1" applyBorder="1" applyAlignment="1">
      <alignment horizontal="center"/>
    </xf>
    <xf numFmtId="2" fontId="1" fillId="3" borderId="23" xfId="1" applyNumberFormat="1" applyFont="1" applyFill="1" applyBorder="1" applyAlignment="1">
      <alignment horizontal="center"/>
    </xf>
    <xf numFmtId="0" fontId="1" fillId="0" borderId="0" xfId="1" applyFont="1" applyFill="1" applyAlignment="1">
      <alignment horizontal="right"/>
    </xf>
    <xf numFmtId="0" fontId="1" fillId="2" borderId="0" xfId="1" applyFont="1" applyFill="1" applyAlignment="1">
      <alignment horizontal="center"/>
    </xf>
    <xf numFmtId="0" fontId="1" fillId="3" borderId="0" xfId="1" applyFont="1" applyFill="1" applyAlignment="1">
      <alignment horizontal="center" shrinkToFit="1"/>
    </xf>
    <xf numFmtId="0" fontId="1" fillId="0" borderId="0" xfId="1" applyFont="1" applyFill="1" applyAlignment="1">
      <alignment horizontal="center" shrinkToFit="1"/>
    </xf>
    <xf numFmtId="2" fontId="1" fillId="0" borderId="0" xfId="1" applyNumberFormat="1" applyFont="1" applyFill="1" applyAlignment="1">
      <alignment horizontal="center"/>
    </xf>
    <xf numFmtId="1" fontId="1" fillId="0" borderId="0" xfId="1" applyNumberFormat="1" applyFont="1" applyFill="1" applyAlignment="1">
      <alignment horizontal="center"/>
    </xf>
    <xf numFmtId="0" fontId="0" fillId="0" borderId="0" xfId="0" applyBorder="1" applyAlignment="1"/>
    <xf numFmtId="0" fontId="1" fillId="0" borderId="0" xfId="1" applyFont="1" applyFill="1" applyBorder="1" applyAlignment="1">
      <alignment horizontal="left"/>
    </xf>
    <xf numFmtId="0" fontId="1" fillId="0" borderId="0" xfId="1" applyFont="1" applyFill="1" applyBorder="1" applyAlignment="1">
      <alignment shrinkToFit="1"/>
    </xf>
    <xf numFmtId="1" fontId="1" fillId="3" borderId="0" xfId="1" applyNumberFormat="1" applyFont="1" applyFill="1" applyBorder="1" applyAlignment="1">
      <alignment horizontal="center"/>
    </xf>
    <xf numFmtId="0" fontId="1" fillId="0" borderId="0" xfId="1" applyFont="1" applyFill="1"/>
    <xf numFmtId="0" fontId="1" fillId="0" borderId="0" xfId="1" applyFill="1" applyBorder="1" applyAlignment="1">
      <alignment horizontal="center"/>
    </xf>
    <xf numFmtId="0" fontId="1" fillId="0" borderId="0" xfId="1" applyFont="1" applyFill="1" applyBorder="1" applyAlignment="1">
      <alignment horizontal="center" shrinkToFit="1"/>
    </xf>
    <xf numFmtId="2" fontId="1" fillId="0" borderId="0" xfId="1" applyNumberFormat="1" applyFill="1" applyAlignment="1">
      <alignment horizontal="center"/>
    </xf>
    <xf numFmtId="0" fontId="1" fillId="0" borderId="0" xfId="1" quotePrefix="1" applyFont="1" applyFill="1"/>
    <xf numFmtId="0" fontId="1" fillId="0" borderId="0" xfId="1" quotePrefix="1" applyFont="1" applyFill="1" applyAlignment="1">
      <alignment horizontal="right"/>
    </xf>
    <xf numFmtId="0" fontId="1" fillId="0" borderId="4" xfId="1" applyFill="1" applyBorder="1" applyAlignment="1">
      <alignment horizontal="center"/>
    </xf>
    <xf numFmtId="0" fontId="1" fillId="0" borderId="4" xfId="1" applyFont="1" applyFill="1" applyBorder="1" applyAlignment="1">
      <alignment horizontal="center" shrinkToFit="1"/>
    </xf>
    <xf numFmtId="0" fontId="1" fillId="0" borderId="4" xfId="1" applyFill="1" applyBorder="1" applyAlignment="1">
      <alignment horizontal="center" shrinkToFit="1"/>
    </xf>
    <xf numFmtId="0" fontId="1" fillId="0" borderId="1" xfId="1" applyFont="1" applyFill="1" applyBorder="1" applyAlignment="1">
      <alignment horizontal="center" shrinkToFit="1"/>
    </xf>
    <xf numFmtId="0" fontId="1" fillId="0" borderId="3" xfId="1" applyFont="1" applyFill="1" applyBorder="1" applyAlignment="1">
      <alignment horizontal="center" shrinkToFit="1"/>
    </xf>
    <xf numFmtId="0" fontId="1" fillId="3" borderId="4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0" fontId="1" fillId="2" borderId="3" xfId="1" applyFill="1" applyBorder="1" applyAlignment="1">
      <alignment horizontal="center"/>
    </xf>
    <xf numFmtId="177" fontId="1" fillId="3" borderId="0" xfId="1" applyNumberFormat="1" applyFont="1" applyFill="1" applyAlignment="1">
      <alignment horizontal="center"/>
    </xf>
    <xf numFmtId="0" fontId="1" fillId="2" borderId="0" xfId="1" applyFill="1" applyAlignment="1">
      <alignment horizontal="center"/>
    </xf>
    <xf numFmtId="176" fontId="1" fillId="0" borderId="0" xfId="1" applyNumberFormat="1" applyFill="1" applyAlignment="1">
      <alignment horizontal="left"/>
    </xf>
    <xf numFmtId="1" fontId="1" fillId="3" borderId="0" xfId="1" applyNumberFormat="1" applyFill="1" applyAlignment="1">
      <alignment horizontal="center" shrinkToFit="1"/>
    </xf>
    <xf numFmtId="0" fontId="0" fillId="0" borderId="0" xfId="0" applyAlignment="1"/>
    <xf numFmtId="0" fontId="1" fillId="0" borderId="0" xfId="1" applyFont="1" applyFill="1" applyAlignment="1">
      <alignment horizontal="center" vertical="center"/>
    </xf>
    <xf numFmtId="0" fontId="1" fillId="0" borderId="18" xfId="1" applyFill="1" applyBorder="1" applyAlignment="1">
      <alignment horizontal="center"/>
    </xf>
    <xf numFmtId="1" fontId="1" fillId="3" borderId="18" xfId="1" applyNumberFormat="1" applyFill="1" applyBorder="1" applyAlignment="1">
      <alignment horizontal="center"/>
    </xf>
    <xf numFmtId="177" fontId="1" fillId="0" borderId="18" xfId="1" applyNumberFormat="1" applyFill="1" applyBorder="1" applyAlignment="1">
      <alignment horizontal="center"/>
    </xf>
    <xf numFmtId="0" fontId="1" fillId="0" borderId="18" xfId="1" applyFont="1" applyFill="1" applyBorder="1" applyAlignment="1"/>
    <xf numFmtId="176" fontId="1" fillId="3" borderId="0" xfId="1" applyNumberFormat="1" applyFont="1" applyFill="1" applyAlignment="1">
      <alignment horizontal="center" vertical="center"/>
    </xf>
    <xf numFmtId="0" fontId="1" fillId="0" borderId="18" xfId="1" applyBorder="1" applyAlignment="1">
      <alignment horizontal="center"/>
    </xf>
    <xf numFmtId="0" fontId="1" fillId="0" borderId="0" xfId="1" applyAlignment="1">
      <alignment horizontal="center" vertical="center"/>
    </xf>
    <xf numFmtId="176" fontId="1" fillId="3" borderId="0" xfId="1" applyNumberFormat="1" applyFill="1" applyAlignment="1">
      <alignment horizontal="center" vertical="center"/>
    </xf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horizontal="center"/>
    </xf>
    <xf numFmtId="0" fontId="1" fillId="2" borderId="4" xfId="1" applyFill="1" applyBorder="1" applyAlignment="1">
      <alignment horizontal="center"/>
    </xf>
    <xf numFmtId="176" fontId="1" fillId="2" borderId="4" xfId="1" applyNumberFormat="1" applyFill="1" applyBorder="1" applyAlignment="1">
      <alignment horizontal="center"/>
    </xf>
    <xf numFmtId="176" fontId="1" fillId="3" borderId="4" xfId="1" applyNumberFormat="1" applyFill="1" applyBorder="1" applyAlignment="1">
      <alignment horizontal="center"/>
    </xf>
    <xf numFmtId="0" fontId="1" fillId="0" borderId="0" xfId="1" applyFill="1" applyAlignment="1">
      <alignment horizontal="center" vertical="center"/>
    </xf>
    <xf numFmtId="176" fontId="1" fillId="0" borderId="0" xfId="1" applyNumberFormat="1" applyFill="1" applyAlignment="1">
      <alignment horizontal="center" vertical="center"/>
    </xf>
    <xf numFmtId="176" fontId="1" fillId="0" borderId="0" xfId="1" applyNumberFormat="1" applyFont="1" applyFill="1" applyAlignment="1">
      <alignment horizontal="center" vertical="center"/>
    </xf>
    <xf numFmtId="1" fontId="1" fillId="4" borderId="0" xfId="1" applyNumberFormat="1" applyFont="1" applyFill="1" applyAlignment="1">
      <alignment horizontal="center" vertical="center"/>
    </xf>
    <xf numFmtId="1" fontId="1" fillId="4" borderId="0" xfId="1" applyNumberFormat="1" applyFill="1" applyAlignment="1">
      <alignment horizontal="center" vertical="center"/>
    </xf>
    <xf numFmtId="176" fontId="1" fillId="3" borderId="0" xfId="1" applyNumberFormat="1" applyFont="1" applyFill="1" applyBorder="1" applyAlignment="1">
      <alignment horizontal="center" vertical="center"/>
    </xf>
    <xf numFmtId="176" fontId="1" fillId="0" borderId="0" xfId="1" applyNumberFormat="1" applyFill="1" applyBorder="1" applyAlignment="1">
      <alignment horizontal="center" vertical="center"/>
    </xf>
    <xf numFmtId="176" fontId="1" fillId="3" borderId="5" xfId="1" applyNumberFormat="1" applyFont="1" applyFill="1" applyBorder="1" applyAlignment="1">
      <alignment horizontal="center" vertical="center"/>
    </xf>
    <xf numFmtId="176" fontId="1" fillId="3" borderId="18" xfId="1" applyNumberFormat="1" applyFill="1" applyBorder="1" applyAlignment="1">
      <alignment horizontal="center" shrinkToFit="1"/>
    </xf>
    <xf numFmtId="0" fontId="1" fillId="4" borderId="0" xfId="1" applyFont="1" applyFill="1" applyAlignment="1">
      <alignment horizontal="center" vertical="center"/>
    </xf>
    <xf numFmtId="0" fontId="1" fillId="3" borderId="0" xfId="1" applyFont="1" applyFill="1" applyAlignment="1">
      <alignment horizontal="center" vertical="center"/>
    </xf>
    <xf numFmtId="0" fontId="1" fillId="3" borderId="0" xfId="1" applyFill="1" applyAlignment="1">
      <alignment horizontal="center" vertical="center"/>
    </xf>
    <xf numFmtId="0" fontId="1" fillId="0" borderId="8" xfId="1" applyFill="1" applyBorder="1" applyAlignment="1">
      <alignment horizontal="center"/>
    </xf>
    <xf numFmtId="0" fontId="1" fillId="0" borderId="4" xfId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/>
    </xf>
    <xf numFmtId="0" fontId="1" fillId="0" borderId="0" xfId="1" applyFont="1" applyFill="1" applyBorder="1" applyAlignment="1">
      <alignment shrinkToFit="1"/>
    </xf>
    <xf numFmtId="0" fontId="1" fillId="0" borderId="4" xfId="1" applyFill="1" applyBorder="1" applyAlignment="1">
      <alignment horizontal="center"/>
    </xf>
    <xf numFmtId="176" fontId="1" fillId="3" borderId="4" xfId="1" applyNumberFormat="1" applyFill="1" applyBorder="1" applyAlignment="1">
      <alignment horizontal="center"/>
    </xf>
    <xf numFmtId="0" fontId="1" fillId="0" borderId="0" xfId="1" applyFill="1" applyAlignment="1">
      <alignment horizontal="center" vertical="center" shrinkToFit="1"/>
    </xf>
    <xf numFmtId="0" fontId="1" fillId="0" borderId="0" xfId="1" applyFont="1" applyFill="1" applyAlignment="1">
      <alignment vertical="center"/>
    </xf>
    <xf numFmtId="0" fontId="1" fillId="0" borderId="0" xfId="1" applyFill="1" applyAlignment="1">
      <alignment vertical="center"/>
    </xf>
    <xf numFmtId="49" fontId="1" fillId="0" borderId="0" xfId="1" applyNumberFormat="1" applyFont="1" applyFill="1"/>
    <xf numFmtId="1" fontId="1" fillId="3" borderId="5" xfId="1" applyNumberFormat="1" applyFont="1" applyFill="1" applyBorder="1" applyAlignment="1">
      <alignment horizontal="center"/>
    </xf>
    <xf numFmtId="0" fontId="1" fillId="3" borderId="0" xfId="1" applyFont="1" applyFill="1" applyAlignment="1">
      <alignment horizontal="center"/>
    </xf>
    <xf numFmtId="0" fontId="1" fillId="0" borderId="0" xfId="1" applyFill="1" applyAlignment="1">
      <alignment horizontal="center" shrinkToFit="1"/>
    </xf>
    <xf numFmtId="0" fontId="2" fillId="0" borderId="0" xfId="0" applyFont="1" applyAlignment="1"/>
    <xf numFmtId="0" fontId="1" fillId="0" borderId="0" xfId="0" applyFont="1" applyAlignment="1"/>
    <xf numFmtId="0" fontId="7" fillId="0" borderId="0" xfId="1" applyFont="1" applyFill="1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shrinkToFit="1"/>
    </xf>
    <xf numFmtId="0" fontId="1" fillId="0" borderId="4" xfId="0" applyFont="1" applyBorder="1" applyAlignment="1">
      <alignment shrinkToFit="1"/>
    </xf>
    <xf numFmtId="176" fontId="1" fillId="3" borderId="4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76" fontId="1" fillId="0" borderId="4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176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 shrinkToFit="1"/>
    </xf>
    <xf numFmtId="0" fontId="1" fillId="0" borderId="16" xfId="0" applyFont="1" applyBorder="1" applyAlignment="1">
      <alignment shrinkToFit="1"/>
    </xf>
    <xf numFmtId="176" fontId="1" fillId="3" borderId="16" xfId="0" applyNumberFormat="1" applyFont="1" applyFill="1" applyBorder="1" applyAlignment="1">
      <alignment horizontal="center"/>
    </xf>
    <xf numFmtId="1" fontId="1" fillId="2" borderId="16" xfId="0" applyNumberFormat="1" applyFont="1" applyFill="1" applyBorder="1" applyAlignment="1">
      <alignment horizontal="center"/>
    </xf>
    <xf numFmtId="176" fontId="1" fillId="0" borderId="16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shrinkToFit="1"/>
    </xf>
    <xf numFmtId="0" fontId="1" fillId="0" borderId="14" xfId="0" applyFont="1" applyBorder="1" applyAlignment="1">
      <alignment shrinkToFit="1"/>
    </xf>
    <xf numFmtId="176" fontId="1" fillId="3" borderId="14" xfId="0" applyNumberFormat="1" applyFont="1" applyFill="1" applyBorder="1" applyAlignment="1">
      <alignment horizontal="center"/>
    </xf>
    <xf numFmtId="1" fontId="1" fillId="2" borderId="14" xfId="0" applyNumberFormat="1" applyFont="1" applyFill="1" applyBorder="1" applyAlignment="1">
      <alignment horizontal="center"/>
    </xf>
    <xf numFmtId="176" fontId="1" fillId="0" borderId="14" xfId="0" applyNumberFormat="1" applyFont="1" applyBorder="1" applyAlignment="1">
      <alignment horizontal="center"/>
    </xf>
    <xf numFmtId="0" fontId="1" fillId="0" borderId="1" xfId="0" applyFont="1" applyBorder="1" applyAlignment="1">
      <alignment shrinkToFit="1"/>
    </xf>
    <xf numFmtId="0" fontId="1" fillId="0" borderId="2" xfId="0" applyFont="1" applyBorder="1" applyAlignment="1">
      <alignment shrinkToFit="1"/>
    </xf>
    <xf numFmtId="0" fontId="1" fillId="0" borderId="3" xfId="0" applyFont="1" applyBorder="1" applyAlignment="1">
      <alignment shrinkToFit="1"/>
    </xf>
    <xf numFmtId="0" fontId="1" fillId="0" borderId="4" xfId="0" applyFont="1" applyBorder="1" applyAlignment="1">
      <alignment horizontal="center" shrinkToFit="1"/>
    </xf>
    <xf numFmtId="1" fontId="1" fillId="0" borderId="4" xfId="0" applyNumberFormat="1" applyFont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/>
    </xf>
    <xf numFmtId="0" fontId="1" fillId="0" borderId="7" xfId="1" applyFont="1" applyFill="1" applyBorder="1" applyAlignment="1">
      <alignment horizontal="center" shrinkToFit="1"/>
    </xf>
    <xf numFmtId="0" fontId="1" fillId="0" borderId="9" xfId="1" applyFill="1" applyBorder="1" applyAlignment="1">
      <alignment horizontal="center" shrinkToFit="1"/>
    </xf>
    <xf numFmtId="176" fontId="1" fillId="3" borderId="4" xfId="1" applyNumberFormat="1" applyFill="1" applyBorder="1" applyAlignment="1">
      <alignment horizontal="center" shrinkToFit="1"/>
    </xf>
    <xf numFmtId="41" fontId="1" fillId="3" borderId="4" xfId="1" applyNumberFormat="1" applyFill="1" applyBorder="1" applyAlignment="1">
      <alignment horizontal="center" shrinkToFit="1"/>
    </xf>
    <xf numFmtId="41" fontId="1" fillId="0" borderId="4" xfId="1" applyNumberFormat="1" applyFill="1" applyBorder="1" applyAlignment="1">
      <alignment horizontal="center" shrinkToFit="1"/>
    </xf>
    <xf numFmtId="0" fontId="1" fillId="0" borderId="1" xfId="1" applyFill="1" applyBorder="1"/>
    <xf numFmtId="0" fontId="1" fillId="0" borderId="2" xfId="1" applyFill="1" applyBorder="1"/>
    <xf numFmtId="0" fontId="1" fillId="0" borderId="3" xfId="1" applyFill="1" applyBorder="1"/>
    <xf numFmtId="0" fontId="1" fillId="0" borderId="10" xfId="1" applyFill="1" applyBorder="1" applyAlignment="1">
      <alignment horizontal="center" shrinkToFit="1"/>
    </xf>
    <xf numFmtId="0" fontId="1" fillId="0" borderId="11" xfId="1" applyFill="1" applyBorder="1" applyAlignment="1">
      <alignment horizontal="center" shrinkToFit="1"/>
    </xf>
    <xf numFmtId="0" fontId="1" fillId="0" borderId="10" xfId="1" applyFill="1" applyBorder="1" applyAlignment="1">
      <alignment horizontal="center"/>
    </xf>
    <xf numFmtId="0" fontId="1" fillId="0" borderId="11" xfId="1" applyFill="1" applyBorder="1" applyAlignment="1">
      <alignment horizontal="center"/>
    </xf>
    <xf numFmtId="0" fontId="1" fillId="0" borderId="15" xfId="1" applyFill="1" applyBorder="1" applyAlignment="1">
      <alignment horizontal="center"/>
    </xf>
    <xf numFmtId="0" fontId="1" fillId="0" borderId="13" xfId="1" applyFill="1" applyBorder="1" applyAlignment="1">
      <alignment horizontal="center"/>
    </xf>
    <xf numFmtId="176" fontId="1" fillId="0" borderId="4" xfId="1" applyNumberFormat="1" applyFill="1" applyBorder="1" applyAlignment="1">
      <alignment horizontal="center" shrinkToFit="1"/>
    </xf>
    <xf numFmtId="0" fontId="1" fillId="0" borderId="10" xfId="1" applyFont="1" applyFill="1" applyBorder="1" applyAlignment="1">
      <alignment horizontal="center"/>
    </xf>
    <xf numFmtId="0" fontId="1" fillId="0" borderId="2" xfId="1" applyFill="1" applyBorder="1" applyAlignment="1">
      <alignment horizontal="center" shrinkToFit="1"/>
    </xf>
    <xf numFmtId="0" fontId="1" fillId="0" borderId="3" xfId="1" applyFill="1" applyBorder="1" applyAlignment="1">
      <alignment horizontal="center" shrinkToFit="1"/>
    </xf>
    <xf numFmtId="0" fontId="1" fillId="0" borderId="15" xfId="1" applyFont="1" applyFill="1" applyBorder="1" applyAlignment="1">
      <alignment horizontal="left" indent="1"/>
    </xf>
    <xf numFmtId="0" fontId="1" fillId="0" borderId="18" xfId="1" applyFont="1" applyFill="1" applyBorder="1" applyAlignment="1">
      <alignment horizontal="left" indent="1"/>
    </xf>
    <xf numFmtId="0" fontId="1" fillId="0" borderId="13" xfId="1" applyFont="1" applyFill="1" applyBorder="1" applyAlignment="1">
      <alignment horizontal="left" indent="1"/>
    </xf>
    <xf numFmtId="0" fontId="1" fillId="0" borderId="1" xfId="1" applyFont="1" applyFill="1" applyBorder="1" applyAlignment="1">
      <alignment horizontal="left" indent="1" shrinkToFit="1"/>
    </xf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1" fillId="0" borderId="1" xfId="1" applyFont="1" applyFill="1" applyBorder="1" applyAlignment="1">
      <alignment horizontal="left" indent="1"/>
    </xf>
    <xf numFmtId="0" fontId="1" fillId="0" borderId="2" xfId="1" applyFont="1" applyFill="1" applyBorder="1" applyAlignment="1">
      <alignment horizontal="left" indent="1"/>
    </xf>
    <xf numFmtId="0" fontId="1" fillId="0" borderId="3" xfId="1" applyFont="1" applyFill="1" applyBorder="1" applyAlignment="1">
      <alignment horizontal="left" indent="1"/>
    </xf>
    <xf numFmtId="41" fontId="1" fillId="0" borderId="1" xfId="1" applyNumberFormat="1" applyFill="1" applyBorder="1" applyAlignment="1">
      <alignment horizontal="center" shrinkToFit="1"/>
    </xf>
    <xf numFmtId="41" fontId="1" fillId="0" borderId="3" xfId="1" applyNumberFormat="1" applyFill="1" applyBorder="1" applyAlignment="1">
      <alignment horizontal="center" shrinkToFit="1"/>
    </xf>
    <xf numFmtId="176" fontId="1" fillId="3" borderId="4" xfId="1" applyNumberFormat="1" applyFill="1" applyBorder="1" applyAlignment="1">
      <alignment shrinkToFit="1"/>
    </xf>
    <xf numFmtId="0" fontId="1" fillId="0" borderId="2" xfId="1" applyFill="1" applyBorder="1" applyAlignment="1">
      <alignment horizontal="left" indent="1"/>
    </xf>
    <xf numFmtId="0" fontId="1" fillId="0" borderId="3" xfId="1" applyFill="1" applyBorder="1" applyAlignment="1">
      <alignment horizontal="left" indent="1"/>
    </xf>
    <xf numFmtId="0" fontId="1" fillId="0" borderId="1" xfId="1" applyFill="1" applyBorder="1" applyAlignment="1">
      <alignment horizontal="left" indent="1"/>
    </xf>
    <xf numFmtId="41" fontId="1" fillId="3" borderId="1" xfId="1" applyNumberFormat="1" applyFill="1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1" fillId="0" borderId="1" xfId="1" applyFill="1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1" xfId="1" applyFill="1" applyBorder="1" applyAlignment="1">
      <alignment horizontal="center"/>
    </xf>
    <xf numFmtId="0" fontId="1" fillId="0" borderId="2" xfId="1" applyFill="1" applyBorder="1" applyAlignment="1">
      <alignment horizontal="center"/>
    </xf>
    <xf numFmtId="0" fontId="1" fillId="0" borderId="3" xfId="1" applyFill="1" applyBorder="1" applyAlignment="1">
      <alignment horizontal="center"/>
    </xf>
    <xf numFmtId="0" fontId="1" fillId="0" borderId="4" xfId="1" applyFill="1" applyBorder="1"/>
    <xf numFmtId="0" fontId="1" fillId="0" borderId="4" xfId="1" applyFill="1" applyBorder="1" applyAlignment="1">
      <alignment shrinkToFit="1"/>
    </xf>
    <xf numFmtId="0" fontId="1" fillId="0" borderId="40" xfId="1" applyFont="1" applyFill="1" applyBorder="1" applyAlignment="1">
      <alignment horizontal="center"/>
    </xf>
    <xf numFmtId="0" fontId="1" fillId="0" borderId="41" xfId="1" applyFill="1" applyBorder="1" applyAlignment="1">
      <alignment horizontal="center"/>
    </xf>
    <xf numFmtId="3" fontId="1" fillId="3" borderId="41" xfId="1" applyNumberFormat="1" applyFill="1" applyBorder="1" applyAlignment="1">
      <alignment horizontal="center" shrinkToFit="1"/>
    </xf>
    <xf numFmtId="0" fontId="1" fillId="0" borderId="41" xfId="1" applyFill="1" applyBorder="1" applyAlignment="1">
      <alignment horizontal="center"/>
    </xf>
    <xf numFmtId="176" fontId="1" fillId="3" borderId="41" xfId="1" applyNumberFormat="1" applyFill="1" applyBorder="1" applyAlignment="1">
      <alignment horizontal="center" shrinkToFit="1"/>
    </xf>
    <xf numFmtId="0" fontId="1" fillId="0" borderId="42" xfId="1" applyFill="1" applyBorder="1" applyAlignment="1">
      <alignment shrinkToFit="1"/>
    </xf>
    <xf numFmtId="0" fontId="1" fillId="0" borderId="7" xfId="1" applyFill="1" applyBorder="1" applyAlignment="1">
      <alignment horizontal="center"/>
    </xf>
    <xf numFmtId="0" fontId="1" fillId="0" borderId="9" xfId="1" applyFill="1" applyBorder="1" applyAlignment="1">
      <alignment horizontal="center"/>
    </xf>
    <xf numFmtId="0" fontId="1" fillId="0" borderId="1" xfId="1" applyFill="1" applyBorder="1" applyAlignment="1">
      <alignment horizontal="right"/>
    </xf>
    <xf numFmtId="0" fontId="1" fillId="4" borderId="2" xfId="1" applyFill="1" applyBorder="1" applyAlignment="1">
      <alignment horizontal="center"/>
    </xf>
    <xf numFmtId="0" fontId="1" fillId="0" borderId="3" xfId="1" applyFill="1" applyBorder="1"/>
    <xf numFmtId="2" fontId="1" fillId="3" borderId="4" xfId="1" applyNumberFormat="1" applyFill="1" applyBorder="1" applyAlignment="1">
      <alignment horizontal="center" shrinkToFit="1"/>
    </xf>
    <xf numFmtId="41" fontId="1" fillId="3" borderId="3" xfId="1" applyNumberFormat="1" applyFill="1" applyBorder="1" applyAlignment="1">
      <alignment horizontal="center" shrinkToFit="1"/>
    </xf>
    <xf numFmtId="0" fontId="1" fillId="0" borderId="8" xfId="1" applyFill="1" applyBorder="1" applyAlignment="1">
      <alignment horizontal="center" shrinkToFit="1"/>
    </xf>
    <xf numFmtId="176" fontId="1" fillId="3" borderId="8" xfId="1" applyNumberFormat="1" applyFill="1" applyBorder="1" applyAlignment="1">
      <alignment horizontal="center"/>
    </xf>
    <xf numFmtId="0" fontId="1" fillId="0" borderId="8" xfId="1" applyFont="1" applyFill="1" applyBorder="1"/>
    <xf numFmtId="0" fontId="1" fillId="0" borderId="8" xfId="1" applyFont="1" applyFill="1" applyBorder="1"/>
    <xf numFmtId="0" fontId="1" fillId="0" borderId="8" xfId="1" applyFill="1" applyBorder="1"/>
    <xf numFmtId="0" fontId="1" fillId="0" borderId="9" xfId="1" applyFill="1" applyBorder="1"/>
    <xf numFmtId="0" fontId="1" fillId="0" borderId="12" xfId="1" applyFill="1" applyBorder="1" applyAlignment="1">
      <alignment horizontal="center"/>
    </xf>
    <xf numFmtId="0" fontId="1" fillId="0" borderId="10" xfId="1" applyFill="1" applyBorder="1"/>
    <xf numFmtId="0" fontId="1" fillId="0" borderId="11" xfId="1" applyFill="1" applyBorder="1"/>
    <xf numFmtId="0" fontId="1" fillId="0" borderId="14" xfId="1" applyFill="1" applyBorder="1" applyAlignment="1">
      <alignment horizontal="center"/>
    </xf>
    <xf numFmtId="0" fontId="1" fillId="0" borderId="16" xfId="1" applyFill="1" applyBorder="1" applyAlignment="1">
      <alignment horizontal="center"/>
    </xf>
    <xf numFmtId="0" fontId="1" fillId="0" borderId="16" xfId="1" applyFont="1" applyFill="1" applyBorder="1" applyAlignment="1">
      <alignment horizontal="center"/>
    </xf>
    <xf numFmtId="0" fontId="1" fillId="0" borderId="16" xfId="1" applyFill="1" applyBorder="1" applyAlignment="1">
      <alignment horizontal="center"/>
    </xf>
    <xf numFmtId="2" fontId="1" fillId="3" borderId="16" xfId="1" applyNumberFormat="1" applyFill="1" applyBorder="1" applyAlignment="1">
      <alignment horizontal="center" shrinkToFit="1"/>
    </xf>
    <xf numFmtId="41" fontId="1" fillId="3" borderId="7" xfId="1" applyNumberFormat="1" applyFill="1" applyBorder="1" applyAlignment="1">
      <alignment horizontal="center" shrinkToFit="1"/>
    </xf>
    <xf numFmtId="41" fontId="1" fillId="3" borderId="9" xfId="1" applyNumberFormat="1" applyFill="1" applyBorder="1" applyAlignment="1">
      <alignment horizontal="center" shrinkToFit="1"/>
    </xf>
    <xf numFmtId="0" fontId="1" fillId="0" borderId="15" xfId="1" applyFont="1" applyFill="1" applyBorder="1" applyAlignment="1">
      <alignment horizontal="center" shrinkToFit="1"/>
    </xf>
    <xf numFmtId="0" fontId="1" fillId="0" borderId="18" xfId="1" applyFill="1" applyBorder="1" applyAlignment="1">
      <alignment horizontal="center" shrinkToFit="1"/>
    </xf>
    <xf numFmtId="0" fontId="1" fillId="0" borderId="13" xfId="1" applyFill="1" applyBorder="1" applyAlignment="1">
      <alignment horizontal="center" shrinkToFit="1"/>
    </xf>
    <xf numFmtId="0" fontId="1" fillId="0" borderId="14" xfId="1" applyFill="1" applyBorder="1" applyAlignment="1">
      <alignment horizontal="center"/>
    </xf>
    <xf numFmtId="176" fontId="1" fillId="0" borderId="14" xfId="1" applyNumberFormat="1" applyFill="1" applyBorder="1" applyAlignment="1">
      <alignment horizontal="center" shrinkToFit="1"/>
    </xf>
    <xf numFmtId="41" fontId="1" fillId="0" borderId="15" xfId="1" applyNumberFormat="1" applyFill="1" applyBorder="1" applyAlignment="1">
      <alignment horizontal="center" shrinkToFit="1"/>
    </xf>
    <xf numFmtId="41" fontId="1" fillId="0" borderId="13" xfId="1" applyNumberFormat="1" applyFill="1" applyBorder="1" applyAlignment="1">
      <alignment horizontal="center" shrinkToFit="1"/>
    </xf>
    <xf numFmtId="0" fontId="1" fillId="0" borderId="16" xfId="1" applyFont="1" applyFill="1" applyBorder="1" applyAlignment="1">
      <alignment horizontal="center"/>
    </xf>
    <xf numFmtId="176" fontId="1" fillId="3" borderId="16" xfId="1" applyNumberFormat="1" applyFill="1" applyBorder="1" applyAlignment="1">
      <alignment horizontal="center" shrinkToFit="1"/>
    </xf>
    <xf numFmtId="41" fontId="1" fillId="3" borderId="1" xfId="1" applyNumberFormat="1" applyFont="1" applyFill="1" applyBorder="1" applyAlignment="1">
      <alignment horizontal="center" shrinkToFit="1"/>
    </xf>
    <xf numFmtId="41" fontId="1" fillId="3" borderId="3" xfId="1" applyNumberFormat="1" applyFont="1" applyFill="1" applyBorder="1" applyAlignment="1">
      <alignment horizontal="center" shrinkToFit="1"/>
    </xf>
    <xf numFmtId="0" fontId="1" fillId="0" borderId="10" xfId="1" applyFill="1" applyBorder="1" applyAlignment="1">
      <alignment horizontal="center"/>
    </xf>
    <xf numFmtId="0" fontId="1" fillId="0" borderId="1" xfId="1" applyFill="1" applyBorder="1"/>
    <xf numFmtId="0" fontId="1" fillId="0" borderId="2" xfId="1" applyFill="1" applyBorder="1"/>
    <xf numFmtId="2" fontId="1" fillId="4" borderId="4" xfId="1" applyNumberFormat="1" applyFill="1" applyBorder="1" applyAlignment="1">
      <alignment horizontal="center" shrinkToFit="1"/>
    </xf>
    <xf numFmtId="0" fontId="1" fillId="0" borderId="7" xfId="1" applyFont="1" applyFill="1" applyBorder="1" applyAlignment="1">
      <alignment horizontal="center" shrinkToFit="1"/>
    </xf>
    <xf numFmtId="0" fontId="1" fillId="0" borderId="8" xfId="1" applyFill="1" applyBorder="1" applyAlignment="1">
      <alignment horizontal="center" shrinkToFit="1"/>
    </xf>
    <xf numFmtId="176" fontId="1" fillId="0" borderId="8" xfId="1" applyNumberFormat="1" applyFill="1" applyBorder="1" applyAlignment="1">
      <alignment horizontal="center"/>
    </xf>
    <xf numFmtId="176" fontId="1" fillId="4" borderId="16" xfId="1" applyNumberFormat="1" applyFill="1" applyBorder="1" applyAlignment="1">
      <alignment horizontal="center" shrinkToFit="1"/>
    </xf>
    <xf numFmtId="41" fontId="1" fillId="4" borderId="1" xfId="1" applyNumberFormat="1" applyFill="1" applyBorder="1" applyAlignment="1">
      <alignment horizontal="center" shrinkToFit="1"/>
    </xf>
    <xf numFmtId="41" fontId="1" fillId="4" borderId="3" xfId="1" applyNumberFormat="1" applyFill="1" applyBorder="1" applyAlignment="1">
      <alignment horizontal="center" shrinkToFit="1"/>
    </xf>
    <xf numFmtId="2" fontId="1" fillId="4" borderId="16" xfId="1" applyNumberFormat="1" applyFill="1" applyBorder="1" applyAlignment="1">
      <alignment horizontal="center" shrinkToFit="1"/>
    </xf>
    <xf numFmtId="0" fontId="1" fillId="0" borderId="16" xfId="1" applyFont="1" applyFill="1" applyBorder="1" applyAlignment="1">
      <alignment horizontal="center" shrinkToFit="1"/>
    </xf>
    <xf numFmtId="0" fontId="1" fillId="0" borderId="16" xfId="1" applyFill="1" applyBorder="1" applyAlignment="1">
      <alignment horizontal="center" shrinkToFit="1"/>
    </xf>
    <xf numFmtId="3" fontId="1" fillId="3" borderId="0" xfId="1" applyNumberFormat="1" applyFill="1" applyBorder="1" applyAlignment="1">
      <alignment horizontal="center"/>
    </xf>
    <xf numFmtId="3" fontId="1" fillId="4" borderId="0" xfId="1" applyNumberFormat="1" applyFill="1" applyBorder="1" applyAlignment="1">
      <alignment horizontal="center"/>
    </xf>
    <xf numFmtId="3" fontId="1" fillId="3" borderId="0" xfId="1" applyNumberFormat="1" applyFill="1" applyBorder="1" applyAlignment="1">
      <alignment horizontal="center" shrinkToFit="1"/>
    </xf>
    <xf numFmtId="41" fontId="1" fillId="3" borderId="16" xfId="1" applyNumberFormat="1" applyFill="1" applyBorder="1" applyAlignment="1">
      <alignment horizontal="center" shrinkToFit="1"/>
    </xf>
    <xf numFmtId="41" fontId="1" fillId="0" borderId="14" xfId="1" applyNumberFormat="1" applyFill="1" applyBorder="1" applyAlignment="1">
      <alignment horizontal="center" shrinkToFit="1"/>
    </xf>
    <xf numFmtId="41" fontId="1" fillId="4" borderId="4" xfId="1" applyNumberFormat="1" applyFill="1" applyBorder="1" applyAlignment="1">
      <alignment horizontal="center" shrinkToFit="1"/>
    </xf>
    <xf numFmtId="0" fontId="1" fillId="3" borderId="1" xfId="1" applyFill="1" applyBorder="1" applyAlignment="1">
      <alignment horizontal="center"/>
    </xf>
    <xf numFmtId="0" fontId="1" fillId="3" borderId="2" xfId="1" applyFill="1" applyBorder="1" applyAlignment="1">
      <alignment horizontal="center"/>
    </xf>
    <xf numFmtId="0" fontId="1" fillId="3" borderId="3" xfId="1" applyFill="1" applyBorder="1" applyAlignment="1">
      <alignment horizontal="center"/>
    </xf>
    <xf numFmtId="0" fontId="1" fillId="3" borderId="10" xfId="1" applyFont="1" applyFill="1" applyBorder="1" applyAlignment="1">
      <alignment horizontal="center" shrinkToFit="1"/>
    </xf>
    <xf numFmtId="0" fontId="1" fillId="3" borderId="0" xfId="1" applyFont="1" applyFill="1" applyBorder="1" applyAlignment="1">
      <alignment horizontal="center" shrinkToFit="1"/>
    </xf>
    <xf numFmtId="0" fontId="1" fillId="4" borderId="0" xfId="1" applyFill="1" applyBorder="1" applyAlignment="1">
      <alignment horizontal="center"/>
    </xf>
    <xf numFmtId="0" fontId="1" fillId="0" borderId="0" xfId="1" applyFont="1" applyFill="1" applyBorder="1" applyAlignment="1"/>
    <xf numFmtId="0" fontId="1" fillId="4" borderId="0" xfId="1" applyFont="1" applyFill="1" applyBorder="1" applyAlignment="1">
      <alignment horizontal="center" shrinkToFit="1"/>
    </xf>
    <xf numFmtId="1" fontId="1" fillId="3" borderId="16" xfId="1" applyNumberFormat="1" applyFill="1" applyBorder="1" applyAlignment="1">
      <alignment horizontal="center" shrinkToFit="1"/>
    </xf>
    <xf numFmtId="0" fontId="1" fillId="0" borderId="10" xfId="1" applyFont="1" applyFill="1" applyBorder="1" applyAlignment="1">
      <alignment horizontal="center" shrinkToFit="1"/>
    </xf>
    <xf numFmtId="0" fontId="1" fillId="0" borderId="8" xfId="1" applyFont="1" applyFill="1" applyBorder="1" applyAlignment="1">
      <alignment horizontal="center" shrinkToFit="1"/>
    </xf>
    <xf numFmtId="0" fontId="1" fillId="0" borderId="11" xfId="1" applyFont="1" applyFill="1" applyBorder="1"/>
    <xf numFmtId="1" fontId="1" fillId="0" borderId="0" xfId="1" applyNumberFormat="1" applyFill="1" applyBorder="1" applyAlignment="1">
      <alignment horizontal="center"/>
    </xf>
    <xf numFmtId="0" fontId="1" fillId="3" borderId="7" xfId="1" applyFill="1" applyBorder="1" applyAlignment="1">
      <alignment horizontal="center" shrinkToFit="1"/>
    </xf>
    <xf numFmtId="0" fontId="1" fillId="3" borderId="8" xfId="1" applyFill="1" applyBorder="1" applyAlignment="1">
      <alignment horizontal="center" shrinkToFit="1"/>
    </xf>
    <xf numFmtId="0" fontId="1" fillId="3" borderId="9" xfId="1" applyFill="1" applyBorder="1" applyAlignment="1">
      <alignment horizontal="center" shrinkToFit="1"/>
    </xf>
    <xf numFmtId="0" fontId="1" fillId="3" borderId="14" xfId="1" applyFill="1" applyBorder="1" applyAlignment="1">
      <alignment horizontal="center"/>
    </xf>
    <xf numFmtId="0" fontId="1" fillId="0" borderId="12" xfId="1" applyFont="1" applyFill="1" applyBorder="1" applyAlignment="1">
      <alignment horizontal="center"/>
    </xf>
    <xf numFmtId="1" fontId="1" fillId="4" borderId="0" xfId="1" applyNumberFormat="1" applyFill="1" applyBorder="1" applyAlignment="1">
      <alignment horizontal="center" shrinkToFit="1"/>
    </xf>
    <xf numFmtId="1" fontId="1" fillId="3" borderId="0" xfId="1" applyNumberFormat="1" applyFill="1" applyBorder="1" applyAlignment="1">
      <alignment horizontal="center" shrinkToFit="1"/>
    </xf>
    <xf numFmtId="3" fontId="1" fillId="4" borderId="0" xfId="1" applyNumberFormat="1" applyFill="1" applyBorder="1" applyAlignment="1">
      <alignment horizontal="center" shrinkToFit="1"/>
    </xf>
    <xf numFmtId="1" fontId="1" fillId="3" borderId="11" xfId="1" applyNumberFormat="1" applyFill="1" applyBorder="1" applyAlignment="1">
      <alignment horizontal="center"/>
    </xf>
    <xf numFmtId="0" fontId="1" fillId="3" borderId="0" xfId="1" applyNumberFormat="1" applyFont="1" applyFill="1" applyBorder="1" applyAlignment="1">
      <alignment shrinkToFit="1"/>
    </xf>
    <xf numFmtId="0" fontId="0" fillId="0" borderId="0" xfId="0" applyAlignment="1"/>
    <xf numFmtId="176" fontId="1" fillId="0" borderId="0" xfId="1" applyNumberFormat="1" applyFont="1" applyFill="1" applyBorder="1" applyAlignment="1">
      <alignment shrinkToFit="1"/>
    </xf>
    <xf numFmtId="0" fontId="0" fillId="0" borderId="0" xfId="0" applyAlignment="1">
      <alignment shrinkToFit="1"/>
    </xf>
    <xf numFmtId="0" fontId="0" fillId="0" borderId="11" xfId="0" applyBorder="1" applyAlignment="1">
      <alignment shrinkToFit="1"/>
    </xf>
    <xf numFmtId="3" fontId="1" fillId="3" borderId="0" xfId="1" applyNumberFormat="1" applyFont="1" applyFill="1" applyBorder="1" applyAlignment="1">
      <alignment shrinkToFit="1"/>
    </xf>
    <xf numFmtId="176" fontId="1" fillId="4" borderId="4" xfId="1" applyNumberFormat="1" applyFill="1" applyBorder="1" applyAlignment="1">
      <alignment horizontal="center" shrinkToFit="1"/>
    </xf>
    <xf numFmtId="0" fontId="1" fillId="3" borderId="7" xfId="1" applyFont="1" applyFill="1" applyBorder="1" applyAlignment="1">
      <alignment horizontal="center" shrinkToFit="1"/>
    </xf>
    <xf numFmtId="41" fontId="1" fillId="3" borderId="16" xfId="1" applyNumberFormat="1" applyFill="1" applyBorder="1" applyAlignment="1">
      <alignment horizontal="center"/>
    </xf>
    <xf numFmtId="176" fontId="1" fillId="0" borderId="16" xfId="1" applyNumberFormat="1" applyFill="1" applyBorder="1" applyAlignment="1">
      <alignment horizontal="center" shrinkToFit="1"/>
    </xf>
    <xf numFmtId="41" fontId="1" fillId="0" borderId="16" xfId="1" applyNumberFormat="1" applyFill="1" applyBorder="1" applyAlignment="1">
      <alignment horizontal="center" shrinkToFit="1"/>
    </xf>
    <xf numFmtId="41" fontId="1" fillId="0" borderId="0" xfId="1" applyNumberFormat="1" applyFill="1" applyBorder="1" applyAlignment="1">
      <alignment horizontal="center"/>
    </xf>
    <xf numFmtId="41" fontId="1" fillId="0" borderId="0" xfId="1" applyNumberFormat="1" applyFill="1" applyBorder="1" applyAlignment="1">
      <alignment horizontal="center" shrinkToFit="1"/>
    </xf>
    <xf numFmtId="0" fontId="1" fillId="0" borderId="10" xfId="1" applyFont="1" applyFill="1" applyBorder="1"/>
    <xf numFmtId="3" fontId="1" fillId="3" borderId="0" xfId="1" applyNumberFormat="1" applyFill="1" applyAlignment="1">
      <alignment horizontal="center"/>
    </xf>
    <xf numFmtId="1" fontId="1" fillId="4" borderId="0" xfId="1" applyNumberFormat="1" applyFill="1" applyBorder="1" applyAlignment="1">
      <alignment horizontal="center"/>
    </xf>
    <xf numFmtId="0" fontId="1" fillId="3" borderId="2" xfId="1" applyFill="1" applyBorder="1" applyAlignment="1">
      <alignment horizontal="center"/>
    </xf>
    <xf numFmtId="0" fontId="1" fillId="0" borderId="8" xfId="1" applyFont="1" applyFill="1" applyBorder="1" applyAlignment="1">
      <alignment horizontal="center"/>
    </xf>
    <xf numFmtId="176" fontId="1" fillId="0" borderId="18" xfId="1" applyNumberFormat="1" applyFont="1" applyFill="1" applyBorder="1" applyAlignment="1">
      <alignment horizontal="right" vertical="center" shrinkToFit="1"/>
    </xf>
    <xf numFmtId="0" fontId="0" fillId="0" borderId="18" xfId="0" applyBorder="1" applyAlignment="1">
      <alignment shrinkToFit="1"/>
    </xf>
    <xf numFmtId="176" fontId="1" fillId="0" borderId="0" xfId="1" applyNumberFormat="1" applyFont="1" applyFill="1" applyBorder="1" applyAlignment="1">
      <alignment horizontal="right" vertical="center" shrinkToFit="1"/>
    </xf>
    <xf numFmtId="176" fontId="1" fillId="0" borderId="0" xfId="1" applyNumberFormat="1" applyFill="1" applyBorder="1" applyAlignment="1">
      <alignment horizontal="right" vertical="center" shrinkToFit="1"/>
    </xf>
    <xf numFmtId="1" fontId="1" fillId="2" borderId="0" xfId="1" applyNumberFormat="1" applyFont="1" applyFill="1" applyAlignment="1">
      <alignment horizontal="center" shrinkToFit="1"/>
    </xf>
    <xf numFmtId="0" fontId="1" fillId="0" borderId="4" xfId="1" applyFont="1" applyFill="1" applyBorder="1" applyAlignment="1">
      <alignment horizontal="center" vertical="center" shrinkToFit="1"/>
    </xf>
    <xf numFmtId="0" fontId="1" fillId="0" borderId="4" xfId="1" applyFill="1" applyBorder="1" applyAlignment="1">
      <alignment horizontal="center" vertical="center" shrinkToFit="1"/>
    </xf>
    <xf numFmtId="0" fontId="1" fillId="0" borderId="16" xfId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horizontal="center" vertical="center" wrapText="1"/>
    </xf>
    <xf numFmtId="176" fontId="1" fillId="0" borderId="4" xfId="1" applyNumberFormat="1" applyFont="1" applyFill="1" applyBorder="1" applyAlignment="1">
      <alignment horizontal="center" vertical="center" shrinkToFit="1"/>
    </xf>
    <xf numFmtId="176" fontId="1" fillId="3" borderId="4" xfId="1" applyNumberFormat="1" applyFill="1" applyBorder="1" applyAlignment="1">
      <alignment horizontal="center" vertical="center" shrinkToFit="1"/>
    </xf>
    <xf numFmtId="0" fontId="1" fillId="3" borderId="4" xfId="1" applyFill="1" applyBorder="1" applyAlignment="1">
      <alignment horizontal="center" vertical="center" shrinkToFit="1"/>
    </xf>
    <xf numFmtId="176" fontId="1" fillId="2" borderId="4" xfId="1" applyNumberFormat="1" applyFont="1" applyFill="1" applyBorder="1" applyAlignment="1">
      <alignment horizontal="center" vertical="center" shrinkToFit="1"/>
    </xf>
    <xf numFmtId="0" fontId="1" fillId="0" borderId="4" xfId="1" applyFill="1" applyBorder="1" applyAlignment="1">
      <alignment horizontal="center" vertical="center" shrinkToFit="1"/>
    </xf>
    <xf numFmtId="0" fontId="1" fillId="4" borderId="4" xfId="1" applyFill="1" applyBorder="1" applyAlignment="1">
      <alignment horizontal="center"/>
    </xf>
    <xf numFmtId="3" fontId="1" fillId="4" borderId="1" xfId="1" applyNumberFormat="1" applyFill="1" applyBorder="1" applyAlignment="1">
      <alignment horizontal="right"/>
    </xf>
    <xf numFmtId="3" fontId="1" fillId="4" borderId="3" xfId="1" applyNumberFormat="1" applyFill="1" applyBorder="1" applyAlignment="1">
      <alignment horizontal="right"/>
    </xf>
    <xf numFmtId="0" fontId="1" fillId="0" borderId="8" xfId="1" applyFill="1" applyBorder="1" applyAlignment="1"/>
    <xf numFmtId="3" fontId="1" fillId="4" borderId="7" xfId="1" applyNumberFormat="1" applyFill="1" applyBorder="1" applyAlignment="1">
      <alignment horizontal="right"/>
    </xf>
    <xf numFmtId="3" fontId="1" fillId="4" borderId="9" xfId="1" applyNumberFormat="1" applyFill="1" applyBorder="1" applyAlignment="1">
      <alignment horizontal="right"/>
    </xf>
    <xf numFmtId="176" fontId="1" fillId="0" borderId="14" xfId="1" applyNumberFormat="1" applyFill="1" applyBorder="1" applyAlignment="1">
      <alignment horizontal="center"/>
    </xf>
    <xf numFmtId="41" fontId="1" fillId="0" borderId="14" xfId="1" applyNumberFormat="1" applyFill="1" applyBorder="1" applyAlignment="1">
      <alignment horizontal="center"/>
    </xf>
    <xf numFmtId="41" fontId="1" fillId="0" borderId="4" xfId="1" applyNumberFormat="1" applyFill="1" applyBorder="1" applyAlignment="1">
      <alignment horizontal="center"/>
    </xf>
    <xf numFmtId="0" fontId="1" fillId="0" borderId="18" xfId="1" applyFont="1" applyFill="1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2" fontId="1" fillId="3" borderId="0" xfId="1" applyNumberFormat="1" applyFill="1" applyAlignment="1">
      <alignment shrinkToFit="1"/>
    </xf>
    <xf numFmtId="1" fontId="1" fillId="3" borderId="4" xfId="1" applyNumberFormat="1" applyFill="1" applyBorder="1" applyAlignment="1">
      <alignment horizontal="center"/>
    </xf>
    <xf numFmtId="41" fontId="1" fillId="4" borderId="4" xfId="1" applyNumberFormat="1" applyFill="1" applyBorder="1" applyAlignment="1">
      <alignment horizontal="center"/>
    </xf>
    <xf numFmtId="0" fontId="1" fillId="0" borderId="8" xfId="1" applyFont="1" applyFill="1" applyBorder="1" applyAlignment="1">
      <alignment wrapText="1"/>
    </xf>
    <xf numFmtId="0" fontId="0" fillId="0" borderId="8" xfId="0" applyBorder="1" applyAlignment="1">
      <alignment wrapText="1"/>
    </xf>
    <xf numFmtId="2" fontId="1" fillId="3" borderId="8" xfId="1" applyNumberFormat="1" applyFont="1" applyFill="1" applyBorder="1" applyAlignment="1">
      <alignment horizontal="center"/>
    </xf>
    <xf numFmtId="2" fontId="1" fillId="0" borderId="0" xfId="1" applyNumberFormat="1" applyFill="1" applyAlignment="1">
      <alignment horizontal="left" shrinkToFit="1"/>
    </xf>
    <xf numFmtId="0" fontId="1" fillId="0" borderId="8" xfId="1" applyFont="1" applyFill="1" applyBorder="1" applyAlignment="1">
      <alignment horizontal="center"/>
    </xf>
    <xf numFmtId="176" fontId="1" fillId="0" borderId="8" xfId="1" applyNumberFormat="1" applyFont="1" applyFill="1" applyBorder="1" applyAlignment="1">
      <alignment horizontal="center"/>
    </xf>
    <xf numFmtId="0" fontId="1" fillId="3" borderId="8" xfId="1" applyFont="1" applyFill="1" applyBorder="1" applyAlignment="1">
      <alignment horizontal="right"/>
    </xf>
    <xf numFmtId="0" fontId="1" fillId="0" borderId="9" xfId="1" applyFill="1" applyBorder="1" applyAlignment="1">
      <alignment horizontal="left"/>
    </xf>
    <xf numFmtId="0" fontId="1" fillId="0" borderId="0" xfId="1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1" fillId="3" borderId="0" xfId="1" applyFill="1" applyBorder="1" applyAlignment="1">
      <alignment horizontal="right"/>
    </xf>
    <xf numFmtId="1" fontId="1" fillId="4" borderId="4" xfId="1" applyNumberFormat="1" applyFill="1" applyBorder="1" applyAlignment="1">
      <alignment horizontal="center"/>
    </xf>
    <xf numFmtId="176" fontId="1" fillId="0" borderId="0" xfId="1" applyNumberFormat="1" applyFont="1" applyFill="1" applyBorder="1" applyAlignment="1">
      <alignment horizontal="left"/>
    </xf>
    <xf numFmtId="3" fontId="1" fillId="0" borderId="0" xfId="1" applyNumberFormat="1" applyFont="1" applyFill="1" applyBorder="1" applyAlignment="1">
      <alignment horizontal="center" shrinkToFit="1"/>
    </xf>
    <xf numFmtId="179" fontId="1" fillId="5" borderId="14" xfId="1" applyNumberFormat="1" applyFill="1" applyBorder="1" applyAlignment="1">
      <alignment horizontal="center"/>
    </xf>
    <xf numFmtId="179" fontId="1" fillId="5" borderId="4" xfId="1" applyNumberFormat="1" applyFill="1" applyBorder="1" applyAlignment="1">
      <alignment horizontal="center"/>
    </xf>
    <xf numFmtId="179" fontId="1" fillId="5" borderId="15" xfId="1" applyNumberFormat="1" applyFill="1" applyBorder="1" applyAlignment="1">
      <alignment horizontal="center"/>
    </xf>
    <xf numFmtId="180" fontId="1" fillId="5" borderId="18" xfId="1" applyNumberFormat="1" applyFill="1" applyBorder="1" applyAlignment="1">
      <alignment horizontal="center"/>
    </xf>
    <xf numFmtId="1" fontId="1" fillId="4" borderId="18" xfId="1" applyNumberFormat="1" applyFill="1" applyBorder="1" applyAlignment="1">
      <alignment horizontal="center"/>
    </xf>
    <xf numFmtId="176" fontId="1" fillId="0" borderId="4" xfId="1" applyNumberFormat="1" applyFill="1" applyBorder="1"/>
    <xf numFmtId="176" fontId="1" fillId="4" borderId="4" xfId="1" applyNumberFormat="1" applyFill="1" applyBorder="1" applyAlignment="1">
      <alignment horizontal="center"/>
    </xf>
    <xf numFmtId="49" fontId="1" fillId="0" borderId="8" xfId="1" applyNumberFormat="1" applyFont="1" applyFill="1" applyBorder="1" applyAlignment="1">
      <alignment horizontal="center"/>
    </xf>
    <xf numFmtId="176" fontId="1" fillId="0" borderId="10" xfId="1" applyNumberFormat="1" applyFill="1" applyBorder="1" applyAlignment="1">
      <alignment horizontal="center"/>
    </xf>
    <xf numFmtId="3" fontId="1" fillId="0" borderId="0" xfId="1" applyNumberFormat="1" applyFont="1" applyFill="1" applyBorder="1" applyAlignment="1">
      <alignment shrinkToFit="1"/>
    </xf>
    <xf numFmtId="41" fontId="1" fillId="4" borderId="16" xfId="1" applyNumberFormat="1" applyFill="1" applyBorder="1" applyAlignment="1">
      <alignment horizontal="center" shrinkToFit="1"/>
    </xf>
    <xf numFmtId="181" fontId="1" fillId="0" borderId="0" xfId="1" applyNumberFormat="1" applyFill="1" applyBorder="1" applyAlignment="1">
      <alignment horizontal="center" shrinkToFit="1"/>
    </xf>
    <xf numFmtId="0" fontId="1" fillId="0" borderId="1" xfId="1" applyFont="1" applyFill="1" applyBorder="1" applyAlignment="1">
      <alignment horizontal="left"/>
    </xf>
    <xf numFmtId="0" fontId="1" fillId="0" borderId="2" xfId="1" applyFill="1" applyBorder="1" applyAlignment="1">
      <alignment horizontal="left"/>
    </xf>
    <xf numFmtId="0" fontId="1" fillId="0" borderId="3" xfId="1" applyFill="1" applyBorder="1" applyAlignment="1">
      <alignment horizontal="left"/>
    </xf>
    <xf numFmtId="0" fontId="1" fillId="0" borderId="1" xfId="1" applyFont="1" applyFill="1" applyBorder="1" applyAlignment="1">
      <alignment vertical="center" wrapText="1"/>
    </xf>
    <xf numFmtId="0" fontId="1" fillId="0" borderId="3" xfId="1" applyFill="1" applyBorder="1" applyAlignment="1">
      <alignment vertical="center" wrapText="1"/>
    </xf>
    <xf numFmtId="0" fontId="1" fillId="0" borderId="1" xfId="1" applyFill="1" applyBorder="1" applyAlignment="1">
      <alignment vertical="center" wrapText="1"/>
    </xf>
    <xf numFmtId="0" fontId="1" fillId="0" borderId="11" xfId="1" applyFill="1" applyBorder="1" applyAlignment="1">
      <alignment horizontal="center"/>
    </xf>
    <xf numFmtId="41" fontId="1" fillId="3" borderId="4" xfId="1" applyNumberFormat="1" applyFill="1" applyBorder="1" applyAlignment="1">
      <alignment horizontal="center"/>
    </xf>
    <xf numFmtId="0" fontId="1" fillId="0" borderId="15" xfId="1" applyFont="1" applyFill="1" applyBorder="1" applyAlignment="1">
      <alignment horizontal="center"/>
    </xf>
    <xf numFmtId="0" fontId="0" fillId="0" borderId="18" xfId="0" applyBorder="1" applyAlignment="1"/>
    <xf numFmtId="0" fontId="0" fillId="0" borderId="13" xfId="0" applyBorder="1" applyAlignment="1"/>
    <xf numFmtId="1" fontId="1" fillId="0" borderId="4" xfId="1" applyNumberFormat="1" applyFill="1" applyBorder="1" applyAlignment="1">
      <alignment horizontal="center"/>
    </xf>
    <xf numFmtId="41" fontId="1" fillId="3" borderId="1" xfId="1" applyNumberFormat="1" applyFill="1" applyBorder="1" applyAlignment="1">
      <alignment horizontal="center"/>
    </xf>
    <xf numFmtId="41" fontId="1" fillId="3" borderId="3" xfId="1" applyNumberFormat="1" applyFill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176" fontId="1" fillId="0" borderId="4" xfId="1" applyNumberFormat="1" applyFill="1" applyBorder="1" applyAlignment="1">
      <alignment horizontal="center"/>
    </xf>
    <xf numFmtId="1" fontId="1" fillId="3" borderId="4" xfId="1" applyNumberFormat="1" applyFill="1" applyBorder="1" applyAlignment="1">
      <alignment horizontal="center"/>
    </xf>
    <xf numFmtId="0" fontId="1" fillId="0" borderId="0" xfId="1" applyFont="1" applyFill="1" applyAlignment="1">
      <alignment horizontal="right" shrinkToFit="1"/>
    </xf>
    <xf numFmtId="0" fontId="9" fillId="0" borderId="0" xfId="1" applyFont="1" applyFill="1" applyBorder="1"/>
    <xf numFmtId="0" fontId="1" fillId="0" borderId="11" xfId="1" applyFont="1" applyFill="1" applyBorder="1" applyAlignment="1">
      <alignment horizontal="center"/>
    </xf>
    <xf numFmtId="0" fontId="1" fillId="0" borderId="12" xfId="1" applyFont="1" applyFill="1" applyBorder="1" applyAlignment="1">
      <alignment horizontal="center"/>
    </xf>
    <xf numFmtId="41" fontId="1" fillId="3" borderId="4" xfId="1" applyNumberFormat="1" applyFont="1" applyFill="1" applyBorder="1" applyAlignment="1">
      <alignment horizontal="center" shrinkToFit="1"/>
    </xf>
    <xf numFmtId="0" fontId="1" fillId="3" borderId="14" xfId="1" applyFont="1" applyFill="1" applyBorder="1" applyAlignment="1">
      <alignment horizontal="center"/>
    </xf>
    <xf numFmtId="176" fontId="1" fillId="3" borderId="0" xfId="1" applyNumberFormat="1" applyFont="1" applyFill="1" applyBorder="1" applyAlignment="1">
      <alignment horizontal="center" shrinkToFit="1"/>
    </xf>
    <xf numFmtId="4" fontId="1" fillId="0" borderId="0" xfId="1" applyNumberFormat="1" applyFill="1" applyBorder="1" applyAlignment="1">
      <alignment horizontal="center" shrinkToFit="1"/>
    </xf>
    <xf numFmtId="0" fontId="1" fillId="4" borderId="0" xfId="1" applyFont="1" applyFill="1" applyAlignment="1">
      <alignment horizontal="center"/>
    </xf>
    <xf numFmtId="0" fontId="1" fillId="0" borderId="0" xfId="1" applyFill="1" applyAlignment="1">
      <alignment horizontal="right"/>
    </xf>
    <xf numFmtId="2" fontId="1" fillId="3" borderId="0" xfId="1" applyNumberFormat="1" applyFill="1"/>
    <xf numFmtId="178" fontId="1" fillId="3" borderId="4" xfId="1" applyNumberFormat="1" applyFill="1" applyBorder="1" applyAlignment="1">
      <alignment shrinkToFit="1"/>
    </xf>
    <xf numFmtId="0" fontId="1" fillId="0" borderId="7" xfId="1" applyFill="1" applyBorder="1"/>
    <xf numFmtId="182" fontId="1" fillId="3" borderId="4" xfId="1" applyNumberFormat="1" applyFill="1" applyBorder="1" applyAlignment="1">
      <alignment shrinkToFit="1"/>
    </xf>
    <xf numFmtId="0" fontId="1" fillId="3" borderId="10" xfId="1" applyFill="1" applyBorder="1" applyAlignment="1">
      <alignment shrinkToFit="1"/>
    </xf>
    <xf numFmtId="178" fontId="1" fillId="0" borderId="0" xfId="1" applyNumberFormat="1" applyFill="1" applyBorder="1" applyAlignment="1">
      <alignment horizontal="center"/>
    </xf>
    <xf numFmtId="182" fontId="1" fillId="3" borderId="0" xfId="1" applyNumberFormat="1" applyFill="1" applyBorder="1" applyAlignment="1">
      <alignment horizontal="center"/>
    </xf>
    <xf numFmtId="0" fontId="1" fillId="0" borderId="0" xfId="1" applyFill="1" applyBorder="1" applyAlignment="1">
      <alignment horizontal="left"/>
    </xf>
    <xf numFmtId="0" fontId="1" fillId="0" borderId="15" xfId="1" applyFill="1" applyBorder="1"/>
    <xf numFmtId="0" fontId="1" fillId="0" borderId="18" xfId="1" applyFill="1" applyBorder="1"/>
    <xf numFmtId="0" fontId="1" fillId="0" borderId="13" xfId="1" applyFill="1" applyBorder="1"/>
    <xf numFmtId="0" fontId="1" fillId="0" borderId="0" xfId="1" applyFill="1" applyAlignment="1">
      <alignment shrinkToFit="1"/>
    </xf>
    <xf numFmtId="0" fontId="12" fillId="0" borderId="0" xfId="0" applyFont="1" applyAlignment="1"/>
    <xf numFmtId="178" fontId="0" fillId="0" borderId="0" xfId="0" applyNumberFormat="1" applyAlignment="1"/>
    <xf numFmtId="178" fontId="0" fillId="0" borderId="0" xfId="0" applyNumberFormat="1" applyAlignment="1">
      <alignment horizontal="center"/>
    </xf>
    <xf numFmtId="183" fontId="0" fillId="0" borderId="0" xfId="0" applyNumberFormat="1" applyAlignment="1">
      <alignment horizontal="center"/>
    </xf>
    <xf numFmtId="0" fontId="13" fillId="0" borderId="7" xfId="0" applyFont="1" applyBorder="1" applyAlignment="1"/>
    <xf numFmtId="0" fontId="13" fillId="0" borderId="8" xfId="0" applyFont="1" applyBorder="1" applyAlignment="1"/>
    <xf numFmtId="178" fontId="13" fillId="0" borderId="8" xfId="0" applyNumberFormat="1" applyFont="1" applyBorder="1" applyAlignment="1">
      <alignment horizontal="right"/>
    </xf>
    <xf numFmtId="178" fontId="13" fillId="0" borderId="8" xfId="0" applyNumberFormat="1" applyFont="1" applyBorder="1" applyAlignment="1">
      <alignment horizontal="center"/>
    </xf>
    <xf numFmtId="183" fontId="14" fillId="0" borderId="43" xfId="0" applyNumberFormat="1" applyFont="1" applyBorder="1" applyAlignment="1">
      <alignment horizontal="center"/>
    </xf>
    <xf numFmtId="0" fontId="13" fillId="0" borderId="44" xfId="0" applyFont="1" applyBorder="1" applyAlignment="1"/>
    <xf numFmtId="0" fontId="13" fillId="0" borderId="9" xfId="0" applyFont="1" applyBorder="1" applyAlignment="1"/>
    <xf numFmtId="0" fontId="13" fillId="0" borderId="0" xfId="0" applyFont="1" applyAlignment="1"/>
    <xf numFmtId="0" fontId="13" fillId="0" borderId="10" xfId="0" applyFont="1" applyBorder="1" applyAlignment="1"/>
    <xf numFmtId="0" fontId="13" fillId="0" borderId="0" xfId="0" applyFont="1" applyBorder="1" applyAlignment="1"/>
    <xf numFmtId="178" fontId="13" fillId="0" borderId="0" xfId="0" applyNumberFormat="1" applyFont="1" applyBorder="1" applyAlignment="1"/>
    <xf numFmtId="178" fontId="13" fillId="0" borderId="45" xfId="0" applyNumberFormat="1" applyFont="1" applyBorder="1" applyAlignment="1"/>
    <xf numFmtId="178" fontId="13" fillId="0" borderId="45" xfId="0" applyNumberFormat="1" applyFont="1" applyBorder="1" applyAlignment="1">
      <alignment horizontal="center"/>
    </xf>
    <xf numFmtId="183" fontId="14" fillId="0" borderId="46" xfId="0" applyNumberFormat="1" applyFont="1" applyBorder="1" applyAlignment="1">
      <alignment horizontal="center"/>
    </xf>
    <xf numFmtId="0" fontId="13" fillId="0" borderId="47" xfId="0" applyFont="1" applyBorder="1" applyAlignment="1"/>
    <xf numFmtId="0" fontId="13" fillId="0" borderId="11" xfId="0" applyFont="1" applyBorder="1" applyAlignment="1"/>
    <xf numFmtId="0" fontId="15" fillId="3" borderId="48" xfId="2" applyNumberFormat="1" applyFont="1" applyFill="1" applyBorder="1" applyAlignment="1">
      <alignment horizontal="center" vertical="center"/>
    </xf>
    <xf numFmtId="0" fontId="15" fillId="3" borderId="49" xfId="2" applyNumberFormat="1" applyFont="1" applyFill="1" applyBorder="1" applyAlignment="1">
      <alignment horizontal="center" vertical="center"/>
    </xf>
    <xf numFmtId="178" fontId="14" fillId="3" borderId="50" xfId="0" applyNumberFormat="1" applyFont="1" applyFill="1" applyBorder="1" applyAlignment="1">
      <alignment horizontal="center"/>
    </xf>
    <xf numFmtId="178" fontId="14" fillId="3" borderId="48" xfId="0" applyNumberFormat="1" applyFont="1" applyFill="1" applyBorder="1" applyAlignment="1">
      <alignment horizontal="center"/>
    </xf>
    <xf numFmtId="178" fontId="14" fillId="3" borderId="49" xfId="0" applyNumberFormat="1" applyFont="1" applyFill="1" applyBorder="1" applyAlignment="1">
      <alignment horizontal="center"/>
    </xf>
    <xf numFmtId="183" fontId="14" fillId="3" borderId="51" xfId="0" applyNumberFormat="1" applyFont="1" applyFill="1" applyBorder="1" applyAlignment="1">
      <alignment horizontal="center"/>
    </xf>
    <xf numFmtId="0" fontId="0" fillId="3" borderId="52" xfId="0" applyFill="1" applyBorder="1" applyAlignment="1"/>
    <xf numFmtId="0" fontId="0" fillId="3" borderId="49" xfId="0" applyFill="1" applyBorder="1" applyAlignment="1"/>
    <xf numFmtId="0" fontId="0" fillId="3" borderId="48" xfId="0" applyFill="1" applyBorder="1" applyAlignment="1"/>
    <xf numFmtId="0" fontId="0" fillId="3" borderId="53" xfId="0" applyFill="1" applyBorder="1" applyAlignment="1"/>
    <xf numFmtId="0" fontId="15" fillId="0" borderId="7" xfId="2" applyNumberFormat="1" applyFont="1" applyFill="1" applyBorder="1" applyAlignment="1">
      <alignment horizontal="center"/>
    </xf>
    <xf numFmtId="0" fontId="15" fillId="0" borderId="8" xfId="2" applyNumberFormat="1" applyFont="1" applyFill="1" applyBorder="1" applyAlignment="1">
      <alignment horizontal="center"/>
    </xf>
    <xf numFmtId="178" fontId="16" fillId="0" borderId="16" xfId="0" applyNumberFormat="1" applyFont="1" applyBorder="1" applyAlignment="1"/>
    <xf numFmtId="178" fontId="16" fillId="0" borderId="10" xfId="0" applyNumberFormat="1" applyFont="1" applyBorder="1" applyAlignment="1">
      <alignment horizontal="center"/>
    </xf>
    <xf numFmtId="178" fontId="16" fillId="0" borderId="0" xfId="0" applyNumberFormat="1" applyFont="1" applyBorder="1" applyAlignment="1"/>
    <xf numFmtId="183" fontId="16" fillId="0" borderId="54" xfId="0" applyNumberFormat="1" applyFont="1" applyBorder="1" applyAlignment="1">
      <alignment horizontal="center"/>
    </xf>
    <xf numFmtId="0" fontId="0" fillId="0" borderId="47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55" xfId="0" applyBorder="1" applyAlignment="1"/>
    <xf numFmtId="0" fontId="0" fillId="0" borderId="56" xfId="0" applyBorder="1" applyAlignment="1"/>
    <xf numFmtId="0" fontId="0" fillId="0" borderId="57" xfId="0" applyBorder="1" applyAlignment="1"/>
    <xf numFmtId="0" fontId="15" fillId="0" borderId="15" xfId="2" applyNumberFormat="1" applyFont="1" applyFill="1" applyBorder="1" applyAlignment="1">
      <alignment horizontal="center"/>
    </xf>
    <xf numFmtId="0" fontId="15" fillId="0" borderId="18" xfId="2" applyNumberFormat="1" applyFont="1" applyFill="1" applyBorder="1" applyAlignment="1">
      <alignment horizontal="center"/>
    </xf>
    <xf numFmtId="178" fontId="16" fillId="0" borderId="14" xfId="0" applyNumberFormat="1" applyFont="1" applyBorder="1" applyAlignment="1"/>
    <xf numFmtId="178" fontId="16" fillId="0" borderId="15" xfId="0" applyNumberFormat="1" applyFont="1" applyBorder="1" applyAlignment="1">
      <alignment horizontal="center"/>
    </xf>
    <xf numFmtId="178" fontId="16" fillId="0" borderId="18" xfId="0" applyNumberFormat="1" applyFont="1" applyBorder="1" applyAlignment="1"/>
    <xf numFmtId="183" fontId="16" fillId="0" borderId="58" xfId="0" applyNumberFormat="1" applyFont="1" applyBorder="1" applyAlignment="1">
      <alignment horizontal="center"/>
    </xf>
    <xf numFmtId="0" fontId="0" fillId="0" borderId="59" xfId="0" applyBorder="1" applyAlignment="1"/>
    <xf numFmtId="0" fontId="0" fillId="0" borderId="18" xfId="0" applyBorder="1" applyAlignment="1"/>
    <xf numFmtId="0" fontId="0" fillId="0" borderId="15" xfId="0" applyBorder="1" applyAlignment="1"/>
    <xf numFmtId="0" fontId="0" fillId="0" borderId="13" xfId="0" applyBorder="1" applyAlignment="1"/>
    <xf numFmtId="0" fontId="15" fillId="0" borderId="12" xfId="2" applyNumberFormat="1" applyFont="1" applyFill="1" applyBorder="1" applyAlignment="1">
      <alignment horizontal="center"/>
    </xf>
    <xf numFmtId="0" fontId="15" fillId="0" borderId="10" xfId="2" applyNumberFormat="1" applyFont="1" applyFill="1" applyBorder="1" applyAlignment="1">
      <alignment horizontal="center"/>
    </xf>
    <xf numFmtId="178" fontId="16" fillId="0" borderId="12" xfId="0" applyNumberFormat="1" applyFont="1" applyBorder="1" applyAlignment="1"/>
    <xf numFmtId="0" fontId="15" fillId="0" borderId="16" xfId="2" applyNumberFormat="1" applyFont="1" applyFill="1" applyBorder="1" applyAlignment="1">
      <alignment horizontal="center"/>
    </xf>
    <xf numFmtId="178" fontId="16" fillId="0" borderId="7" xfId="0" applyNumberFormat="1" applyFont="1" applyBorder="1" applyAlignment="1">
      <alignment horizontal="center"/>
    </xf>
    <xf numFmtId="178" fontId="16" fillId="0" borderId="8" xfId="0" applyNumberFormat="1" applyFont="1" applyBorder="1" applyAlignment="1"/>
    <xf numFmtId="183" fontId="16" fillId="0" borderId="60" xfId="0" applyNumberFormat="1" applyFont="1" applyBorder="1" applyAlignment="1">
      <alignment horizontal="center"/>
    </xf>
    <xf numFmtId="0" fontId="0" fillId="0" borderId="44" xfId="0" applyBorder="1" applyAlignment="1"/>
    <xf numFmtId="0" fontId="0" fillId="0" borderId="8" xfId="0" applyBorder="1" applyAlignment="1"/>
    <xf numFmtId="0" fontId="0" fillId="0" borderId="7" xfId="0" applyBorder="1" applyAlignment="1"/>
    <xf numFmtId="0" fontId="0" fillId="0" borderId="9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0" fillId="0" borderId="21" xfId="0" applyBorder="1" applyAlignment="1"/>
    <xf numFmtId="0" fontId="15" fillId="0" borderId="9" xfId="2" applyNumberFormat="1" applyFont="1" applyFill="1" applyBorder="1" applyAlignment="1">
      <alignment horizontal="center"/>
    </xf>
    <xf numFmtId="0" fontId="15" fillId="0" borderId="13" xfId="2" applyNumberFormat="1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0" fillId="0" borderId="61" xfId="0" applyBorder="1" applyAlignment="1"/>
    <xf numFmtId="0" fontId="15" fillId="0" borderId="10" xfId="0" applyFont="1" applyBorder="1" applyAlignment="1"/>
    <xf numFmtId="0" fontId="15" fillId="0" borderId="11" xfId="0" applyFont="1" applyBorder="1" applyAlignment="1"/>
    <xf numFmtId="0" fontId="15" fillId="0" borderId="62" xfId="2" applyNumberFormat="1" applyFont="1" applyFill="1" applyBorder="1" applyAlignment="1">
      <alignment horizontal="center"/>
    </xf>
    <xf numFmtId="0" fontId="15" fillId="0" borderId="45" xfId="2" applyNumberFormat="1" applyFont="1" applyFill="1" applyBorder="1" applyAlignment="1">
      <alignment horizontal="center"/>
    </xf>
    <xf numFmtId="178" fontId="16" fillId="0" borderId="63" xfId="0" applyNumberFormat="1" applyFont="1" applyBorder="1" applyAlignment="1"/>
    <xf numFmtId="178" fontId="16" fillId="0" borderId="62" xfId="0" applyNumberFormat="1" applyFont="1" applyBorder="1" applyAlignment="1">
      <alignment horizontal="center"/>
    </xf>
    <xf numFmtId="178" fontId="16" fillId="0" borderId="45" xfId="0" applyNumberFormat="1" applyFont="1" applyBorder="1" applyAlignment="1"/>
    <xf numFmtId="0" fontId="16" fillId="3" borderId="48" xfId="0" applyFont="1" applyFill="1" applyBorder="1" applyAlignment="1">
      <alignment horizontal="center" vertical="center"/>
    </xf>
    <xf numFmtId="0" fontId="16" fillId="3" borderId="49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64" xfId="0" applyBorder="1" applyAlignment="1"/>
    <xf numFmtId="0" fontId="0" fillId="0" borderId="65" xfId="0" applyBorder="1" applyAlignment="1"/>
    <xf numFmtId="0" fontId="0" fillId="0" borderId="66" xfId="0" applyBorder="1" applyAlignment="1"/>
    <xf numFmtId="0" fontId="0" fillId="0" borderId="67" xfId="0" applyBorder="1" applyAlignment="1"/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178" fontId="16" fillId="0" borderId="16" xfId="0" applyNumberFormat="1" applyFont="1" applyBorder="1" applyAlignment="1">
      <alignment horizontal="right"/>
    </xf>
    <xf numFmtId="0" fontId="16" fillId="0" borderId="8" xfId="0" applyFont="1" applyBorder="1" applyAlignment="1">
      <alignment horizontal="center"/>
    </xf>
    <xf numFmtId="0" fontId="16" fillId="0" borderId="9" xfId="0" applyFont="1" applyBorder="1" applyAlignment="1">
      <alignment horizontal="center"/>
    </xf>
  </cellXfs>
  <cellStyles count="3">
    <cellStyle name="架設積算" xfId="1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26550;&#35373;&#31309;&#31639;&#12477;&#12501;&#12488;\R2&#24180;&#24230;&#25913;&#35330;\&#31119;&#28006;&#20462;&#27491;\&#12486;&#12473;&#12488;\&#36865;&#20986;&#12375;\02_&#36865;&#20986;&#12375;&#24037;&#27861;&#65288;&#23569;&#25968;I&#26689;&#65289;&#12465;&#12540;&#12502;&#12523;&#21336;&#2660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作成"/>
      <sheetName val="基本 (1)"/>
      <sheetName val="日数 (1)"/>
      <sheetName val="クレーン (1)"/>
      <sheetName val="日数表 (1)"/>
      <sheetName val="工事費 (1)"/>
      <sheetName val="工程 (1)"/>
      <sheetName val="日数表"/>
      <sheetName val="基本"/>
      <sheetName val="日数"/>
      <sheetName val="クレーン"/>
      <sheetName val="工事費"/>
      <sheetName val="工程"/>
      <sheetName val="表2-3-2"/>
      <sheetName val="表2-3-3"/>
      <sheetName val="表2-3-4"/>
      <sheetName val="表2-3-5"/>
      <sheetName val="表2-3-6"/>
      <sheetName val="表2-3-7"/>
      <sheetName val="労務単価"/>
      <sheetName val="クレーン単価"/>
      <sheetName val="保存シート"/>
    </sheetNames>
    <sheetDataSet>
      <sheetData sheetId="0"/>
      <sheetData sheetId="1">
        <row r="7">
          <cell r="D7">
            <v>3</v>
          </cell>
          <cell r="N7">
            <v>151.4</v>
          </cell>
        </row>
        <row r="8">
          <cell r="D8">
            <v>60</v>
          </cell>
        </row>
        <row r="10">
          <cell r="D10">
            <v>15</v>
          </cell>
          <cell r="L10">
            <v>10</v>
          </cell>
        </row>
        <row r="12">
          <cell r="D12">
            <v>2</v>
          </cell>
          <cell r="H12">
            <v>3</v>
          </cell>
          <cell r="L12">
            <v>0.75</v>
          </cell>
        </row>
        <row r="14">
          <cell r="D14">
            <v>0</v>
          </cell>
          <cell r="H14">
            <v>2</v>
          </cell>
          <cell r="L14">
            <v>1</v>
          </cell>
        </row>
        <row r="16">
          <cell r="D16">
            <v>8</v>
          </cell>
          <cell r="K16">
            <v>26</v>
          </cell>
        </row>
        <row r="18">
          <cell r="K18">
            <v>28</v>
          </cell>
        </row>
        <row r="19">
          <cell r="E19">
            <v>14</v>
          </cell>
        </row>
        <row r="21">
          <cell r="E21">
            <v>0</v>
          </cell>
        </row>
        <row r="28">
          <cell r="G28">
            <v>411.8</v>
          </cell>
          <cell r="J28">
            <v>28</v>
          </cell>
        </row>
        <row r="29">
          <cell r="G29">
            <v>32</v>
          </cell>
        </row>
        <row r="32">
          <cell r="J32">
            <v>8</v>
          </cell>
        </row>
        <row r="33">
          <cell r="J33">
            <v>4</v>
          </cell>
        </row>
        <row r="34">
          <cell r="G34">
            <v>457.5</v>
          </cell>
        </row>
        <row r="39">
          <cell r="I39">
            <v>21240</v>
          </cell>
        </row>
        <row r="60">
          <cell r="J60">
            <v>0</v>
          </cell>
        </row>
        <row r="72">
          <cell r="L72">
            <v>19</v>
          </cell>
        </row>
        <row r="73">
          <cell r="N73">
            <v>8.8000000000000007</v>
          </cell>
        </row>
        <row r="74">
          <cell r="N74">
            <v>0</v>
          </cell>
        </row>
        <row r="75">
          <cell r="N75">
            <v>0</v>
          </cell>
        </row>
        <row r="76">
          <cell r="N76">
            <v>6.2</v>
          </cell>
        </row>
        <row r="77">
          <cell r="N77">
            <v>4</v>
          </cell>
        </row>
        <row r="78">
          <cell r="L78">
            <v>16.2</v>
          </cell>
        </row>
        <row r="79">
          <cell r="N79">
            <v>9.1999999999999993</v>
          </cell>
        </row>
        <row r="80">
          <cell r="N80">
            <v>2.6</v>
          </cell>
        </row>
        <row r="81">
          <cell r="N81">
            <v>4.4000000000000004</v>
          </cell>
        </row>
        <row r="82">
          <cell r="L82">
            <v>3.3</v>
          </cell>
        </row>
        <row r="83">
          <cell r="N83">
            <v>0</v>
          </cell>
        </row>
        <row r="84">
          <cell r="N84">
            <v>3.3</v>
          </cell>
        </row>
        <row r="85">
          <cell r="L85">
            <v>11.7</v>
          </cell>
        </row>
        <row r="86">
          <cell r="K86">
            <v>2</v>
          </cell>
          <cell r="L86">
            <v>6</v>
          </cell>
        </row>
        <row r="87">
          <cell r="L87">
            <v>17.7</v>
          </cell>
        </row>
        <row r="88">
          <cell r="N88">
            <v>12.5</v>
          </cell>
        </row>
        <row r="89">
          <cell r="N89">
            <v>3.9</v>
          </cell>
        </row>
        <row r="90">
          <cell r="N90">
            <v>1.3</v>
          </cell>
        </row>
        <row r="91">
          <cell r="N91">
            <v>0</v>
          </cell>
        </row>
        <row r="92">
          <cell r="N92">
            <v>0</v>
          </cell>
        </row>
        <row r="94">
          <cell r="L94">
            <v>16.899999999999999</v>
          </cell>
        </row>
        <row r="95">
          <cell r="L95">
            <v>6.5</v>
          </cell>
        </row>
        <row r="96">
          <cell r="L96">
            <v>3.5</v>
          </cell>
        </row>
        <row r="97">
          <cell r="L97">
            <v>12.7</v>
          </cell>
        </row>
        <row r="98">
          <cell r="L98">
            <v>1</v>
          </cell>
        </row>
        <row r="99">
          <cell r="L99">
            <v>61.3</v>
          </cell>
        </row>
        <row r="100">
          <cell r="N100">
            <v>61.3</v>
          </cell>
        </row>
        <row r="101">
          <cell r="N101">
            <v>0</v>
          </cell>
        </row>
        <row r="102">
          <cell r="N102">
            <v>0</v>
          </cell>
        </row>
        <row r="103">
          <cell r="L103">
            <v>0</v>
          </cell>
        </row>
        <row r="104">
          <cell r="L104">
            <v>0.9</v>
          </cell>
        </row>
        <row r="105">
          <cell r="L105">
            <v>0</v>
          </cell>
        </row>
        <row r="124">
          <cell r="E124">
            <v>16.899999999999999</v>
          </cell>
        </row>
        <row r="147">
          <cell r="D147">
            <v>180</v>
          </cell>
        </row>
        <row r="157">
          <cell r="D157">
            <v>169</v>
          </cell>
        </row>
        <row r="169">
          <cell r="D169">
            <v>142</v>
          </cell>
        </row>
        <row r="179">
          <cell r="D179">
            <v>127</v>
          </cell>
        </row>
        <row r="199">
          <cell r="I199">
            <v>350</v>
          </cell>
        </row>
        <row r="221">
          <cell r="D221">
            <v>116</v>
          </cell>
        </row>
        <row r="231">
          <cell r="D231">
            <v>162</v>
          </cell>
        </row>
        <row r="241">
          <cell r="D241">
            <v>194</v>
          </cell>
        </row>
        <row r="253">
          <cell r="D253">
            <v>10</v>
          </cell>
        </row>
        <row r="263">
          <cell r="D263">
            <v>4.4000000000000004</v>
          </cell>
        </row>
        <row r="293">
          <cell r="D293">
            <v>99</v>
          </cell>
        </row>
        <row r="301">
          <cell r="D301">
            <v>29</v>
          </cell>
        </row>
        <row r="311">
          <cell r="D311">
            <v>99</v>
          </cell>
        </row>
      </sheetData>
      <sheetData sheetId="2">
        <row r="7">
          <cell r="D7">
            <v>0.3</v>
          </cell>
        </row>
        <row r="31">
          <cell r="D31">
            <v>960</v>
          </cell>
        </row>
        <row r="33">
          <cell r="D33">
            <v>8.8000000000000007</v>
          </cell>
        </row>
        <row r="129">
          <cell r="D129">
            <v>0</v>
          </cell>
        </row>
        <row r="186">
          <cell r="D186">
            <v>12.09</v>
          </cell>
        </row>
        <row r="198">
          <cell r="E198">
            <v>300</v>
          </cell>
        </row>
        <row r="205">
          <cell r="D205">
            <v>17.855999999999998</v>
          </cell>
        </row>
        <row r="219">
          <cell r="D219">
            <v>6.2</v>
          </cell>
        </row>
        <row r="229">
          <cell r="D229">
            <v>160</v>
          </cell>
        </row>
        <row r="239">
          <cell r="D239">
            <v>4</v>
          </cell>
        </row>
        <row r="253">
          <cell r="H253">
            <v>28</v>
          </cell>
        </row>
        <row r="260">
          <cell r="F260">
            <v>21.975000000000001</v>
          </cell>
        </row>
        <row r="262">
          <cell r="F262">
            <v>12.09</v>
          </cell>
        </row>
        <row r="269">
          <cell r="D269">
            <v>34.064999999999998</v>
          </cell>
        </row>
        <row r="283">
          <cell r="D283">
            <v>9.1999999999999993</v>
          </cell>
        </row>
        <row r="288">
          <cell r="E288">
            <v>3</v>
          </cell>
        </row>
        <row r="295">
          <cell r="I295">
            <v>120</v>
          </cell>
        </row>
        <row r="315">
          <cell r="D315">
            <v>2.6</v>
          </cell>
        </row>
        <row r="328">
          <cell r="L328">
            <v>104.9</v>
          </cell>
        </row>
        <row r="349">
          <cell r="G349">
            <v>4</v>
          </cell>
        </row>
        <row r="357">
          <cell r="D357">
            <v>4.4000000000000004</v>
          </cell>
        </row>
        <row r="414">
          <cell r="D414">
            <v>1</v>
          </cell>
        </row>
        <row r="419">
          <cell r="D419">
            <v>8.7200000000000006</v>
          </cell>
        </row>
        <row r="434">
          <cell r="D434">
            <v>6.5</v>
          </cell>
        </row>
        <row r="439">
          <cell r="D439">
            <v>3.1</v>
          </cell>
        </row>
        <row r="474">
          <cell r="I474">
            <v>44850.460000000006</v>
          </cell>
        </row>
        <row r="483">
          <cell r="M483">
            <v>22.6</v>
          </cell>
        </row>
        <row r="487">
          <cell r="J487">
            <v>10300</v>
          </cell>
          <cell r="N487">
            <v>33300</v>
          </cell>
        </row>
        <row r="489">
          <cell r="E489">
            <v>12</v>
          </cell>
        </row>
        <row r="496">
          <cell r="D496">
            <v>11.7</v>
          </cell>
        </row>
        <row r="510">
          <cell r="J510">
            <v>80.599999999999994</v>
          </cell>
        </row>
        <row r="526">
          <cell r="D526">
            <v>12</v>
          </cell>
        </row>
        <row r="540">
          <cell r="D540">
            <v>0</v>
          </cell>
        </row>
        <row r="547">
          <cell r="D547">
            <v>12</v>
          </cell>
        </row>
        <row r="556">
          <cell r="H556">
            <v>443.8</v>
          </cell>
        </row>
        <row r="572">
          <cell r="D572">
            <v>12.5</v>
          </cell>
        </row>
        <row r="584">
          <cell r="D584">
            <v>168.9</v>
          </cell>
        </row>
        <row r="589">
          <cell r="D589">
            <v>3.9</v>
          </cell>
        </row>
        <row r="601">
          <cell r="D601">
            <v>1</v>
          </cell>
        </row>
        <row r="606">
          <cell r="D606">
            <v>1.3</v>
          </cell>
        </row>
        <row r="651">
          <cell r="F651">
            <v>117</v>
          </cell>
        </row>
        <row r="653">
          <cell r="F653">
            <v>26</v>
          </cell>
        </row>
        <row r="662">
          <cell r="D662">
            <v>23.17</v>
          </cell>
        </row>
        <row r="676">
          <cell r="D676">
            <v>30</v>
          </cell>
        </row>
        <row r="689">
          <cell r="D689">
            <v>13</v>
          </cell>
        </row>
        <row r="694">
          <cell r="I694">
            <v>4</v>
          </cell>
        </row>
        <row r="716">
          <cell r="D716">
            <v>4</v>
          </cell>
          <cell r="F716">
            <v>2.4</v>
          </cell>
          <cell r="H716">
            <v>4</v>
          </cell>
          <cell r="J716">
            <v>2.2000000000000002</v>
          </cell>
        </row>
        <row r="718">
          <cell r="D718">
            <v>3.5</v>
          </cell>
        </row>
        <row r="723">
          <cell r="G723">
            <v>21240</v>
          </cell>
        </row>
        <row r="737">
          <cell r="D737">
            <v>12.7</v>
          </cell>
        </row>
        <row r="742">
          <cell r="G742">
            <v>4</v>
          </cell>
        </row>
        <row r="752">
          <cell r="D752">
            <v>1</v>
          </cell>
        </row>
        <row r="769">
          <cell r="M769">
            <v>2271</v>
          </cell>
        </row>
        <row r="773">
          <cell r="Q773">
            <v>42.7</v>
          </cell>
        </row>
        <row r="777">
          <cell r="Q777">
            <v>9.5</v>
          </cell>
        </row>
        <row r="781">
          <cell r="Q781">
            <v>5.9</v>
          </cell>
        </row>
        <row r="785">
          <cell r="Q785">
            <v>3.2</v>
          </cell>
        </row>
        <row r="789">
          <cell r="E789">
            <v>61.3</v>
          </cell>
        </row>
        <row r="803">
          <cell r="N803">
            <v>0</v>
          </cell>
        </row>
        <row r="848">
          <cell r="E848">
            <v>0</v>
          </cell>
        </row>
        <row r="871">
          <cell r="I871">
            <v>9</v>
          </cell>
        </row>
        <row r="874">
          <cell r="H874">
            <v>1.8</v>
          </cell>
        </row>
      </sheetData>
      <sheetData sheetId="3">
        <row r="33">
          <cell r="D33">
            <v>100</v>
          </cell>
        </row>
        <row r="48">
          <cell r="D48">
            <v>65</v>
          </cell>
        </row>
        <row r="76">
          <cell r="D76">
            <v>45</v>
          </cell>
        </row>
        <row r="83">
          <cell r="D83">
            <v>35</v>
          </cell>
        </row>
      </sheetData>
      <sheetData sheetId="4">
        <row r="8">
          <cell r="K8">
            <v>8.8000000000000007</v>
          </cell>
          <cell r="M8">
            <v>1</v>
          </cell>
        </row>
        <row r="11">
          <cell r="K11">
            <v>6.2</v>
          </cell>
          <cell r="M11">
            <v>1</v>
          </cell>
        </row>
        <row r="12">
          <cell r="K12">
            <v>4</v>
          </cell>
          <cell r="M12">
            <v>1</v>
          </cell>
        </row>
        <row r="14">
          <cell r="K14">
            <v>9.1999999999999993</v>
          </cell>
          <cell r="M14">
            <v>1</v>
          </cell>
        </row>
        <row r="15">
          <cell r="K15">
            <v>2.6</v>
          </cell>
          <cell r="M15">
            <v>1</v>
          </cell>
        </row>
        <row r="16">
          <cell r="K16">
            <v>4.4000000000000004</v>
          </cell>
          <cell r="M16">
            <v>1</v>
          </cell>
        </row>
        <row r="19">
          <cell r="K19">
            <v>6.5</v>
          </cell>
          <cell r="M19">
            <v>2</v>
          </cell>
        </row>
        <row r="20">
          <cell r="K20">
            <v>11.7</v>
          </cell>
          <cell r="M20">
            <v>1</v>
          </cell>
        </row>
        <row r="21">
          <cell r="K21">
            <v>12</v>
          </cell>
          <cell r="M21">
            <v>2</v>
          </cell>
        </row>
        <row r="23">
          <cell r="K23">
            <v>12.5</v>
          </cell>
          <cell r="M23">
            <v>1</v>
          </cell>
        </row>
        <row r="24">
          <cell r="K24">
            <v>3.9</v>
          </cell>
          <cell r="M24">
            <v>1</v>
          </cell>
        </row>
        <row r="25">
          <cell r="K25">
            <v>1.3</v>
          </cell>
          <cell r="M25">
            <v>1</v>
          </cell>
        </row>
        <row r="28">
          <cell r="K28">
            <v>30</v>
          </cell>
          <cell r="M28">
            <v>2</v>
          </cell>
        </row>
        <row r="29">
          <cell r="K29">
            <v>16.899999999999999</v>
          </cell>
        </row>
        <row r="30">
          <cell r="K30">
            <v>13</v>
          </cell>
          <cell r="M30">
            <v>2</v>
          </cell>
        </row>
        <row r="31">
          <cell r="K31">
            <v>3.5</v>
          </cell>
          <cell r="M31">
            <v>1</v>
          </cell>
        </row>
        <row r="32">
          <cell r="K32">
            <v>12.7</v>
          </cell>
          <cell r="M32">
            <v>1</v>
          </cell>
        </row>
        <row r="33">
          <cell r="K33">
            <v>1</v>
          </cell>
          <cell r="M33">
            <v>1</v>
          </cell>
        </row>
        <row r="35">
          <cell r="K35">
            <v>61.3</v>
          </cell>
          <cell r="M35">
            <v>1</v>
          </cell>
        </row>
        <row r="36">
          <cell r="K36">
            <v>42.7</v>
          </cell>
        </row>
        <row r="37">
          <cell r="K37">
            <v>9.5</v>
          </cell>
        </row>
        <row r="38">
          <cell r="K38">
            <v>5.9</v>
          </cell>
        </row>
        <row r="39">
          <cell r="K39">
            <v>3.2</v>
          </cell>
        </row>
        <row r="43">
          <cell r="K43">
            <v>1.8</v>
          </cell>
          <cell r="M43">
            <v>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B1" t="str">
            <v>橋梁世話役</v>
          </cell>
          <cell r="C1" t="str">
            <v>橋梁特殊工</v>
          </cell>
          <cell r="D1" t="str">
            <v>普通作業員</v>
          </cell>
          <cell r="E1" t="str">
            <v>特殊運転手</v>
          </cell>
          <cell r="F1" t="str">
            <v>とび工</v>
          </cell>
          <cell r="G1" t="str">
            <v>特殊作業員</v>
          </cell>
        </row>
        <row r="2">
          <cell r="A2" t="str">
            <v>全国平均</v>
          </cell>
          <cell r="B2">
            <v>33710</v>
          </cell>
          <cell r="C2">
            <v>28930</v>
          </cell>
          <cell r="D2">
            <v>18800</v>
          </cell>
          <cell r="E2">
            <v>22150</v>
          </cell>
          <cell r="F2">
            <v>24300</v>
          </cell>
          <cell r="G2">
            <v>21910</v>
          </cell>
        </row>
        <row r="3">
          <cell r="A3" t="str">
            <v>北海道</v>
          </cell>
          <cell r="B3">
            <v>38400</v>
          </cell>
          <cell r="C3">
            <v>31200</v>
          </cell>
          <cell r="D3">
            <v>17300</v>
          </cell>
          <cell r="E3">
            <v>20700</v>
          </cell>
          <cell r="F3">
            <v>23700</v>
          </cell>
          <cell r="G3">
            <v>21100</v>
          </cell>
        </row>
        <row r="4">
          <cell r="A4" t="str">
            <v>青森県</v>
          </cell>
          <cell r="B4">
            <v>37000</v>
          </cell>
          <cell r="C4">
            <v>30500</v>
          </cell>
          <cell r="D4">
            <v>17900</v>
          </cell>
          <cell r="E4">
            <v>26200</v>
          </cell>
          <cell r="F4">
            <v>24600</v>
          </cell>
          <cell r="G4">
            <v>24300</v>
          </cell>
        </row>
        <row r="5">
          <cell r="A5" t="str">
            <v>岩手県</v>
          </cell>
          <cell r="B5">
            <v>38500</v>
          </cell>
          <cell r="C5">
            <v>30700</v>
          </cell>
          <cell r="D5">
            <v>19300</v>
          </cell>
          <cell r="E5">
            <v>26000</v>
          </cell>
          <cell r="F5">
            <v>23600</v>
          </cell>
          <cell r="G5">
            <v>23400</v>
          </cell>
        </row>
        <row r="6">
          <cell r="A6" t="str">
            <v>宮城県</v>
          </cell>
          <cell r="B6">
            <v>41900</v>
          </cell>
          <cell r="C6">
            <v>30400</v>
          </cell>
          <cell r="D6">
            <v>19200</v>
          </cell>
          <cell r="E6">
            <v>27200</v>
          </cell>
          <cell r="F6">
            <v>26700</v>
          </cell>
          <cell r="G6">
            <v>24800</v>
          </cell>
        </row>
        <row r="7">
          <cell r="A7" t="str">
            <v>秋田県</v>
          </cell>
          <cell r="B7">
            <v>38200</v>
          </cell>
          <cell r="C7">
            <v>31000</v>
          </cell>
          <cell r="D7">
            <v>18100</v>
          </cell>
          <cell r="E7">
            <v>25300</v>
          </cell>
          <cell r="F7">
            <v>24300</v>
          </cell>
          <cell r="G7">
            <v>22900</v>
          </cell>
        </row>
        <row r="8">
          <cell r="A8" t="str">
            <v>山形県</v>
          </cell>
          <cell r="B8">
            <v>37400</v>
          </cell>
          <cell r="C8">
            <v>30900</v>
          </cell>
          <cell r="D8">
            <v>18100</v>
          </cell>
          <cell r="E8">
            <v>23900</v>
          </cell>
          <cell r="F8">
            <v>24400</v>
          </cell>
          <cell r="G8">
            <v>23000</v>
          </cell>
        </row>
        <row r="9">
          <cell r="A9" t="str">
            <v>福島県</v>
          </cell>
          <cell r="B9">
            <v>37400</v>
          </cell>
          <cell r="C9">
            <v>30500</v>
          </cell>
          <cell r="D9">
            <v>19100</v>
          </cell>
          <cell r="E9">
            <v>23100</v>
          </cell>
          <cell r="F9">
            <v>26500</v>
          </cell>
          <cell r="G9">
            <v>24800</v>
          </cell>
        </row>
        <row r="10">
          <cell r="A10" t="str">
            <v>東北平均</v>
          </cell>
          <cell r="B10">
            <v>38400</v>
          </cell>
          <cell r="C10">
            <v>30670</v>
          </cell>
          <cell r="D10">
            <v>18620</v>
          </cell>
          <cell r="E10">
            <v>25280</v>
          </cell>
          <cell r="F10">
            <v>25020</v>
          </cell>
          <cell r="G10">
            <v>23870</v>
          </cell>
        </row>
        <row r="11">
          <cell r="A11" t="str">
            <v>茨城県</v>
          </cell>
          <cell r="B11">
            <v>33500</v>
          </cell>
          <cell r="C11">
            <v>29800</v>
          </cell>
          <cell r="D11">
            <v>20300</v>
          </cell>
          <cell r="E11">
            <v>23700</v>
          </cell>
          <cell r="F11">
            <v>25600</v>
          </cell>
          <cell r="G11">
            <v>21900</v>
          </cell>
        </row>
        <row r="12">
          <cell r="A12" t="str">
            <v>栃木県</v>
          </cell>
          <cell r="B12">
            <v>33800</v>
          </cell>
          <cell r="C12">
            <v>30300</v>
          </cell>
          <cell r="D12">
            <v>19000</v>
          </cell>
          <cell r="E12">
            <v>21300</v>
          </cell>
          <cell r="F12">
            <v>24200</v>
          </cell>
          <cell r="G12">
            <v>21700</v>
          </cell>
        </row>
        <row r="13">
          <cell r="A13" t="str">
            <v>群馬県</v>
          </cell>
          <cell r="B13">
            <v>33800</v>
          </cell>
          <cell r="C13">
            <v>30100</v>
          </cell>
          <cell r="D13">
            <v>20100</v>
          </cell>
          <cell r="E13">
            <v>21700</v>
          </cell>
          <cell r="F13">
            <v>23100</v>
          </cell>
          <cell r="G13">
            <v>21700</v>
          </cell>
        </row>
        <row r="14">
          <cell r="A14" t="str">
            <v>埼玉県</v>
          </cell>
          <cell r="B14">
            <v>34000</v>
          </cell>
          <cell r="C14">
            <v>30900</v>
          </cell>
          <cell r="D14">
            <v>20600</v>
          </cell>
          <cell r="E14">
            <v>24600</v>
          </cell>
          <cell r="F14">
            <v>26700</v>
          </cell>
          <cell r="G14">
            <v>23300</v>
          </cell>
        </row>
        <row r="15">
          <cell r="A15" t="str">
            <v>千葉県</v>
          </cell>
          <cell r="B15">
            <v>34000</v>
          </cell>
          <cell r="C15">
            <v>30300</v>
          </cell>
          <cell r="D15">
            <v>20300</v>
          </cell>
          <cell r="E15">
            <v>24000</v>
          </cell>
          <cell r="F15">
            <v>27700</v>
          </cell>
          <cell r="G15">
            <v>24100</v>
          </cell>
        </row>
        <row r="16">
          <cell r="A16" t="str">
            <v>東京都</v>
          </cell>
          <cell r="B16">
            <v>34400</v>
          </cell>
          <cell r="C16">
            <v>30000</v>
          </cell>
          <cell r="D16">
            <v>21500</v>
          </cell>
          <cell r="E16">
            <v>24200</v>
          </cell>
          <cell r="F16">
            <v>27300</v>
          </cell>
          <cell r="G16">
            <v>24600</v>
          </cell>
        </row>
        <row r="17">
          <cell r="A17" t="str">
            <v>神奈川県</v>
          </cell>
          <cell r="B17">
            <v>33700</v>
          </cell>
          <cell r="C17">
            <v>29800</v>
          </cell>
          <cell r="D17">
            <v>21500</v>
          </cell>
          <cell r="E17">
            <v>25200</v>
          </cell>
          <cell r="F17">
            <v>27500</v>
          </cell>
          <cell r="G17">
            <v>24900</v>
          </cell>
        </row>
        <row r="18">
          <cell r="A18" t="str">
            <v>山梨県</v>
          </cell>
          <cell r="B18">
            <v>33100</v>
          </cell>
          <cell r="C18">
            <v>30000</v>
          </cell>
          <cell r="D18">
            <v>21300</v>
          </cell>
          <cell r="E18">
            <v>24200</v>
          </cell>
          <cell r="F18">
            <v>24500</v>
          </cell>
          <cell r="G18">
            <v>23700</v>
          </cell>
        </row>
        <row r="19">
          <cell r="A19" t="str">
            <v>長野県</v>
          </cell>
          <cell r="B19">
            <v>32700</v>
          </cell>
          <cell r="C19">
            <v>30300</v>
          </cell>
          <cell r="D19">
            <v>19700</v>
          </cell>
          <cell r="E19">
            <v>21700</v>
          </cell>
          <cell r="F19">
            <v>24100</v>
          </cell>
          <cell r="G19">
            <v>22800</v>
          </cell>
        </row>
        <row r="20">
          <cell r="A20" t="str">
            <v>関東平均</v>
          </cell>
          <cell r="B20">
            <v>33670</v>
          </cell>
          <cell r="C20">
            <v>30170</v>
          </cell>
          <cell r="D20">
            <v>20480</v>
          </cell>
          <cell r="E20">
            <v>23400</v>
          </cell>
          <cell r="F20">
            <v>25630</v>
          </cell>
          <cell r="G20">
            <v>23190</v>
          </cell>
        </row>
        <row r="21">
          <cell r="A21" t="str">
            <v>新潟県</v>
          </cell>
          <cell r="B21">
            <v>33300</v>
          </cell>
          <cell r="C21">
            <v>29400</v>
          </cell>
          <cell r="D21">
            <v>19000</v>
          </cell>
          <cell r="E21">
            <v>22300</v>
          </cell>
          <cell r="F21">
            <v>23500</v>
          </cell>
          <cell r="G21">
            <v>22500</v>
          </cell>
        </row>
        <row r="22">
          <cell r="A22" t="str">
            <v>富山県</v>
          </cell>
          <cell r="B22">
            <v>34200</v>
          </cell>
          <cell r="C22">
            <v>29200</v>
          </cell>
          <cell r="D22">
            <v>20100</v>
          </cell>
          <cell r="E22">
            <v>23500</v>
          </cell>
          <cell r="F22">
            <v>26300</v>
          </cell>
          <cell r="G22">
            <v>25000</v>
          </cell>
        </row>
        <row r="23">
          <cell r="A23" t="str">
            <v>石川県</v>
          </cell>
          <cell r="B23">
            <v>34800</v>
          </cell>
          <cell r="C23">
            <v>29400</v>
          </cell>
          <cell r="D23">
            <v>20700</v>
          </cell>
          <cell r="E23">
            <v>22900</v>
          </cell>
          <cell r="F23">
            <v>26400</v>
          </cell>
          <cell r="G23">
            <v>24100</v>
          </cell>
        </row>
        <row r="24">
          <cell r="A24" t="str">
            <v>北陸平均</v>
          </cell>
          <cell r="B24">
            <v>34100</v>
          </cell>
          <cell r="C24">
            <v>29330</v>
          </cell>
          <cell r="D24">
            <v>19930</v>
          </cell>
          <cell r="E24">
            <v>22900</v>
          </cell>
          <cell r="F24">
            <v>25400</v>
          </cell>
          <cell r="G24">
            <v>23870</v>
          </cell>
        </row>
        <row r="25">
          <cell r="A25" t="str">
            <v>岐阜県</v>
          </cell>
          <cell r="B25">
            <v>33400</v>
          </cell>
          <cell r="C25">
            <v>29700</v>
          </cell>
          <cell r="D25">
            <v>20300</v>
          </cell>
          <cell r="E25">
            <v>23600</v>
          </cell>
          <cell r="F25">
            <v>25800</v>
          </cell>
          <cell r="G25">
            <v>22800</v>
          </cell>
        </row>
        <row r="26">
          <cell r="A26" t="str">
            <v>静岡県</v>
          </cell>
          <cell r="B26">
            <v>33700</v>
          </cell>
          <cell r="C26">
            <v>30500</v>
          </cell>
          <cell r="D26">
            <v>21400</v>
          </cell>
          <cell r="E26">
            <v>23100</v>
          </cell>
          <cell r="F26">
            <v>25000</v>
          </cell>
          <cell r="G26">
            <v>22600</v>
          </cell>
        </row>
        <row r="27">
          <cell r="A27" t="str">
            <v>愛知県</v>
          </cell>
          <cell r="B27">
            <v>32900</v>
          </cell>
          <cell r="C27">
            <v>29600</v>
          </cell>
          <cell r="D27">
            <v>20300</v>
          </cell>
          <cell r="E27">
            <v>23300</v>
          </cell>
          <cell r="F27">
            <v>26600</v>
          </cell>
          <cell r="G27">
            <v>23700</v>
          </cell>
        </row>
        <row r="28">
          <cell r="A28" t="str">
            <v>三重県</v>
          </cell>
          <cell r="B28">
            <v>34300</v>
          </cell>
          <cell r="C28">
            <v>29700</v>
          </cell>
          <cell r="D28">
            <v>19600</v>
          </cell>
          <cell r="E28">
            <v>22900</v>
          </cell>
          <cell r="F28">
            <v>27200</v>
          </cell>
          <cell r="G28">
            <v>22700</v>
          </cell>
        </row>
        <row r="29">
          <cell r="A29" t="str">
            <v>中部平均</v>
          </cell>
          <cell r="B29">
            <v>33580</v>
          </cell>
          <cell r="C29">
            <v>29880</v>
          </cell>
          <cell r="D29">
            <v>20400</v>
          </cell>
          <cell r="E29">
            <v>23230</v>
          </cell>
          <cell r="F29">
            <v>26150</v>
          </cell>
          <cell r="G29">
            <v>22950</v>
          </cell>
        </row>
        <row r="30">
          <cell r="A30" t="str">
            <v>福井県</v>
          </cell>
          <cell r="B30">
            <v>32600</v>
          </cell>
          <cell r="C30">
            <v>28000</v>
          </cell>
          <cell r="D30">
            <v>17300</v>
          </cell>
          <cell r="E30">
            <v>19700</v>
          </cell>
          <cell r="F30">
            <v>22200</v>
          </cell>
          <cell r="G30">
            <v>20400</v>
          </cell>
        </row>
        <row r="31">
          <cell r="A31" t="str">
            <v>滋賀県</v>
          </cell>
          <cell r="B31">
            <v>32400</v>
          </cell>
          <cell r="C31">
            <v>27900</v>
          </cell>
          <cell r="D31">
            <v>18600</v>
          </cell>
          <cell r="E31">
            <v>20900</v>
          </cell>
          <cell r="F31">
            <v>23700</v>
          </cell>
          <cell r="G31">
            <v>20700</v>
          </cell>
        </row>
        <row r="32">
          <cell r="A32" t="str">
            <v>京都府</v>
          </cell>
          <cell r="B32">
            <v>32400</v>
          </cell>
          <cell r="C32">
            <v>27900</v>
          </cell>
          <cell r="D32">
            <v>19400</v>
          </cell>
          <cell r="E32">
            <v>19800</v>
          </cell>
          <cell r="F32">
            <v>23400</v>
          </cell>
          <cell r="G32">
            <v>20200</v>
          </cell>
        </row>
        <row r="33">
          <cell r="A33" t="str">
            <v>大阪府</v>
          </cell>
          <cell r="B33">
            <v>33000</v>
          </cell>
          <cell r="C33">
            <v>28200</v>
          </cell>
          <cell r="D33">
            <v>19000</v>
          </cell>
          <cell r="E33">
            <v>21300</v>
          </cell>
          <cell r="F33">
            <v>24800</v>
          </cell>
          <cell r="G33">
            <v>21500</v>
          </cell>
        </row>
        <row r="34">
          <cell r="A34" t="str">
            <v>兵庫県</v>
          </cell>
          <cell r="B34">
            <v>32700</v>
          </cell>
          <cell r="C34">
            <v>28200</v>
          </cell>
          <cell r="D34">
            <v>19200</v>
          </cell>
          <cell r="E34">
            <v>20100</v>
          </cell>
          <cell r="F34">
            <v>23700</v>
          </cell>
          <cell r="G34">
            <v>19400</v>
          </cell>
        </row>
        <row r="35">
          <cell r="A35" t="str">
            <v>奈良県</v>
          </cell>
          <cell r="B35">
            <v>32300</v>
          </cell>
          <cell r="C35">
            <v>27900</v>
          </cell>
          <cell r="D35">
            <v>19100</v>
          </cell>
          <cell r="E35">
            <v>20700</v>
          </cell>
          <cell r="F35">
            <v>24200</v>
          </cell>
          <cell r="G35">
            <v>21700</v>
          </cell>
        </row>
        <row r="36">
          <cell r="A36" t="str">
            <v>和歌山県</v>
          </cell>
          <cell r="B36">
            <v>32300</v>
          </cell>
          <cell r="C36">
            <v>27900</v>
          </cell>
          <cell r="D36">
            <v>19300</v>
          </cell>
          <cell r="E36">
            <v>19400</v>
          </cell>
          <cell r="F36">
            <v>24000</v>
          </cell>
          <cell r="G36">
            <v>21000</v>
          </cell>
        </row>
        <row r="37">
          <cell r="A37" t="str">
            <v>近畿平均</v>
          </cell>
          <cell r="B37">
            <v>32530</v>
          </cell>
          <cell r="C37">
            <v>28000</v>
          </cell>
          <cell r="D37">
            <v>18840</v>
          </cell>
          <cell r="E37">
            <v>20270</v>
          </cell>
          <cell r="F37">
            <v>23710</v>
          </cell>
          <cell r="G37">
            <v>20700</v>
          </cell>
        </row>
        <row r="38">
          <cell r="A38" t="str">
            <v>鳥取県</v>
          </cell>
          <cell r="B38">
            <v>30200</v>
          </cell>
          <cell r="C38">
            <v>26300</v>
          </cell>
          <cell r="D38">
            <v>15000</v>
          </cell>
          <cell r="E38">
            <v>17300</v>
          </cell>
          <cell r="F38">
            <v>21800</v>
          </cell>
          <cell r="G38">
            <v>18500</v>
          </cell>
        </row>
        <row r="39">
          <cell r="A39" t="str">
            <v>島根県</v>
          </cell>
          <cell r="B39">
            <v>29900</v>
          </cell>
          <cell r="C39">
            <v>26300</v>
          </cell>
          <cell r="D39">
            <v>16200</v>
          </cell>
          <cell r="E39">
            <v>18800</v>
          </cell>
          <cell r="F39">
            <v>21700</v>
          </cell>
          <cell r="G39">
            <v>18800</v>
          </cell>
        </row>
        <row r="40">
          <cell r="A40" t="str">
            <v>岡山県</v>
          </cell>
          <cell r="B40">
            <v>30000</v>
          </cell>
          <cell r="C40">
            <v>26400</v>
          </cell>
          <cell r="D40">
            <v>17500</v>
          </cell>
          <cell r="E40">
            <v>20200</v>
          </cell>
          <cell r="F40">
            <v>22500</v>
          </cell>
          <cell r="G40">
            <v>19900</v>
          </cell>
        </row>
        <row r="41">
          <cell r="A41" t="str">
            <v>広島県</v>
          </cell>
          <cell r="B41">
            <v>30100</v>
          </cell>
          <cell r="C41">
            <v>26400</v>
          </cell>
          <cell r="D41">
            <v>18300</v>
          </cell>
          <cell r="E41">
            <v>20600</v>
          </cell>
          <cell r="F41">
            <v>22200</v>
          </cell>
          <cell r="G41">
            <v>20200</v>
          </cell>
        </row>
        <row r="42">
          <cell r="A42" t="str">
            <v>山口県</v>
          </cell>
          <cell r="B42">
            <v>30100</v>
          </cell>
          <cell r="C42">
            <v>26500</v>
          </cell>
          <cell r="D42">
            <v>16800</v>
          </cell>
          <cell r="E42">
            <v>19100</v>
          </cell>
          <cell r="F42">
            <v>22300</v>
          </cell>
          <cell r="G42">
            <v>18800</v>
          </cell>
        </row>
        <row r="43">
          <cell r="A43" t="str">
            <v>中国平均</v>
          </cell>
          <cell r="B43">
            <v>30060</v>
          </cell>
          <cell r="C43">
            <v>26380</v>
          </cell>
          <cell r="D43">
            <v>16760</v>
          </cell>
          <cell r="E43">
            <v>19200</v>
          </cell>
          <cell r="F43">
            <v>22100</v>
          </cell>
          <cell r="G43">
            <v>19240</v>
          </cell>
        </row>
        <row r="44">
          <cell r="A44" t="str">
            <v>徳島県</v>
          </cell>
          <cell r="B44">
            <v>30300</v>
          </cell>
          <cell r="C44">
            <v>27400</v>
          </cell>
          <cell r="D44">
            <v>18500</v>
          </cell>
          <cell r="E44">
            <v>18500</v>
          </cell>
          <cell r="F44">
            <v>22600</v>
          </cell>
          <cell r="G44">
            <v>20700</v>
          </cell>
        </row>
        <row r="45">
          <cell r="A45" t="str">
            <v>香川県</v>
          </cell>
          <cell r="B45">
            <v>30600</v>
          </cell>
          <cell r="C45">
            <v>27300</v>
          </cell>
          <cell r="D45">
            <v>19000</v>
          </cell>
          <cell r="E45">
            <v>19900</v>
          </cell>
          <cell r="F45">
            <v>22700</v>
          </cell>
          <cell r="G45">
            <v>21500</v>
          </cell>
        </row>
        <row r="46">
          <cell r="A46" t="str">
            <v>愛媛県</v>
          </cell>
          <cell r="B46">
            <v>29500</v>
          </cell>
          <cell r="C46">
            <v>27100</v>
          </cell>
          <cell r="D46">
            <v>16600</v>
          </cell>
          <cell r="E46">
            <v>20200</v>
          </cell>
          <cell r="F46">
            <v>22500</v>
          </cell>
          <cell r="G46">
            <v>20300</v>
          </cell>
        </row>
        <row r="47">
          <cell r="A47" t="str">
            <v>高知県</v>
          </cell>
          <cell r="B47">
            <v>30300</v>
          </cell>
          <cell r="C47">
            <v>27400</v>
          </cell>
          <cell r="D47">
            <v>17000</v>
          </cell>
          <cell r="E47">
            <v>20600</v>
          </cell>
          <cell r="F47">
            <v>23000</v>
          </cell>
          <cell r="G47">
            <v>20100</v>
          </cell>
        </row>
        <row r="48">
          <cell r="A48" t="str">
            <v>四国平均</v>
          </cell>
          <cell r="B48">
            <v>30180</v>
          </cell>
          <cell r="C48">
            <v>27300</v>
          </cell>
          <cell r="D48">
            <v>17780</v>
          </cell>
          <cell r="E48">
            <v>19800</v>
          </cell>
          <cell r="F48">
            <v>22700</v>
          </cell>
          <cell r="G48">
            <v>20650</v>
          </cell>
        </row>
        <row r="49">
          <cell r="A49" t="str">
            <v>福岡県</v>
          </cell>
          <cell r="B49">
            <v>34000</v>
          </cell>
          <cell r="C49">
            <v>27800</v>
          </cell>
          <cell r="D49">
            <v>19500</v>
          </cell>
          <cell r="E49">
            <v>21300</v>
          </cell>
          <cell r="F49">
            <v>23800</v>
          </cell>
          <cell r="G49">
            <v>21900</v>
          </cell>
        </row>
        <row r="50">
          <cell r="A50" t="str">
            <v>佐賀県</v>
          </cell>
          <cell r="B50">
            <v>34200</v>
          </cell>
          <cell r="C50">
            <v>27800</v>
          </cell>
          <cell r="D50">
            <v>16700</v>
          </cell>
          <cell r="E50">
            <v>23400</v>
          </cell>
          <cell r="F50">
            <v>22300</v>
          </cell>
          <cell r="G50">
            <v>19300</v>
          </cell>
        </row>
        <row r="51">
          <cell r="A51" t="str">
            <v>長崎県</v>
          </cell>
          <cell r="B51">
            <v>34200</v>
          </cell>
          <cell r="C51">
            <v>27800</v>
          </cell>
          <cell r="D51">
            <v>17600</v>
          </cell>
          <cell r="E51">
            <v>20000</v>
          </cell>
          <cell r="F51">
            <v>22200</v>
          </cell>
          <cell r="G51">
            <v>20200</v>
          </cell>
        </row>
        <row r="52">
          <cell r="A52" t="str">
            <v>熊本県</v>
          </cell>
          <cell r="B52">
            <v>33100</v>
          </cell>
          <cell r="C52">
            <v>27800</v>
          </cell>
          <cell r="D52">
            <v>18000</v>
          </cell>
          <cell r="E52">
            <v>20800</v>
          </cell>
          <cell r="F52">
            <v>23300</v>
          </cell>
          <cell r="G52">
            <v>20600</v>
          </cell>
        </row>
        <row r="53">
          <cell r="A53" t="str">
            <v>大分県</v>
          </cell>
          <cell r="B53">
            <v>33500</v>
          </cell>
          <cell r="C53">
            <v>27800</v>
          </cell>
          <cell r="D53">
            <v>16800</v>
          </cell>
          <cell r="E53">
            <v>22200</v>
          </cell>
          <cell r="F53">
            <v>22900</v>
          </cell>
          <cell r="G53">
            <v>19600</v>
          </cell>
        </row>
        <row r="54">
          <cell r="A54" t="str">
            <v>宮崎県</v>
          </cell>
          <cell r="B54">
            <v>34000</v>
          </cell>
          <cell r="C54">
            <v>27800</v>
          </cell>
          <cell r="D54">
            <v>16400</v>
          </cell>
          <cell r="E54">
            <v>22200</v>
          </cell>
          <cell r="F54">
            <v>23100</v>
          </cell>
          <cell r="G54">
            <v>21900</v>
          </cell>
        </row>
        <row r="55">
          <cell r="A55" t="str">
            <v>鹿児島県</v>
          </cell>
          <cell r="B55">
            <v>34400</v>
          </cell>
          <cell r="C55">
            <v>27800</v>
          </cell>
          <cell r="D55">
            <v>17700</v>
          </cell>
          <cell r="E55">
            <v>24600</v>
          </cell>
          <cell r="F55">
            <v>23500</v>
          </cell>
          <cell r="G55">
            <v>24100</v>
          </cell>
        </row>
        <row r="56">
          <cell r="A56" t="str">
            <v>九州平均</v>
          </cell>
          <cell r="B56">
            <v>33910</v>
          </cell>
          <cell r="C56">
            <v>27800</v>
          </cell>
          <cell r="D56">
            <v>17530</v>
          </cell>
          <cell r="E56">
            <v>22070</v>
          </cell>
          <cell r="F56">
            <v>23010</v>
          </cell>
          <cell r="G56">
            <v>21090</v>
          </cell>
        </row>
        <row r="57">
          <cell r="A57" t="str">
            <v>沖縄県</v>
          </cell>
          <cell r="B57">
            <v>40100</v>
          </cell>
          <cell r="C57">
            <v>33600</v>
          </cell>
          <cell r="D57">
            <v>19300</v>
          </cell>
          <cell r="E57">
            <v>24900</v>
          </cell>
          <cell r="F57">
            <v>28500</v>
          </cell>
          <cell r="G57">
            <v>21900</v>
          </cell>
        </row>
      </sheetData>
      <sheetData sheetId="20">
        <row r="1">
          <cell r="B1">
            <v>4.9000000000000004</v>
          </cell>
          <cell r="C1">
            <v>16</v>
          </cell>
          <cell r="D1">
            <v>20</v>
          </cell>
          <cell r="E1">
            <v>25</v>
          </cell>
          <cell r="F1">
            <v>35</v>
          </cell>
          <cell r="G1">
            <v>45</v>
          </cell>
          <cell r="H1">
            <v>50</v>
          </cell>
          <cell r="I1">
            <v>60</v>
          </cell>
          <cell r="J1">
            <v>65</v>
          </cell>
          <cell r="K1">
            <v>100</v>
          </cell>
          <cell r="L1">
            <v>120</v>
          </cell>
          <cell r="M1">
            <v>160</v>
          </cell>
          <cell r="N1">
            <v>200</v>
          </cell>
          <cell r="O1">
            <v>360</v>
          </cell>
        </row>
        <row r="2">
          <cell r="A2" t="str">
            <v>全国平均</v>
          </cell>
          <cell r="B2">
            <v>39400</v>
          </cell>
          <cell r="C2">
            <v>47500</v>
          </cell>
          <cell r="D2">
            <v>49000</v>
          </cell>
          <cell r="E2">
            <v>53200</v>
          </cell>
          <cell r="F2">
            <v>74600</v>
          </cell>
          <cell r="G2">
            <v>88000</v>
          </cell>
          <cell r="H2">
            <v>92600</v>
          </cell>
          <cell r="I2">
            <v>105300</v>
          </cell>
          <cell r="J2">
            <v>118100</v>
          </cell>
          <cell r="K2">
            <v>201900</v>
          </cell>
          <cell r="L2">
            <v>232300</v>
          </cell>
          <cell r="M2">
            <v>324300</v>
          </cell>
          <cell r="N2">
            <v>450300</v>
          </cell>
          <cell r="O2">
            <v>772300</v>
          </cell>
        </row>
        <row r="3">
          <cell r="A3" t="str">
            <v>北海道</v>
          </cell>
          <cell r="B3">
            <v>45000</v>
          </cell>
          <cell r="C3">
            <v>51000</v>
          </cell>
          <cell r="D3">
            <v>52000</v>
          </cell>
          <cell r="E3">
            <v>57000</v>
          </cell>
          <cell r="F3">
            <v>79000</v>
          </cell>
          <cell r="G3">
            <v>94000</v>
          </cell>
          <cell r="H3">
            <v>10000</v>
          </cell>
          <cell r="I3">
            <v>112000</v>
          </cell>
          <cell r="J3">
            <v>120000</v>
          </cell>
          <cell r="K3">
            <v>230000</v>
          </cell>
          <cell r="L3">
            <v>263000</v>
          </cell>
          <cell r="M3">
            <v>354000</v>
          </cell>
          <cell r="N3">
            <v>485000</v>
          </cell>
          <cell r="O3">
            <v>800000</v>
          </cell>
        </row>
        <row r="4">
          <cell r="A4" t="str">
            <v>青森県</v>
          </cell>
          <cell r="B4">
            <v>43000</v>
          </cell>
          <cell r="C4">
            <v>51000</v>
          </cell>
          <cell r="D4">
            <v>53000</v>
          </cell>
          <cell r="E4">
            <v>58000</v>
          </cell>
          <cell r="F4">
            <v>80000</v>
          </cell>
          <cell r="G4">
            <v>92000</v>
          </cell>
          <cell r="H4">
            <v>99000</v>
          </cell>
          <cell r="I4">
            <v>110000</v>
          </cell>
          <cell r="J4">
            <v>120000</v>
          </cell>
          <cell r="K4">
            <v>210000</v>
          </cell>
          <cell r="L4">
            <v>240000</v>
          </cell>
          <cell r="M4">
            <v>340000</v>
          </cell>
          <cell r="N4">
            <v>450000</v>
          </cell>
          <cell r="O4">
            <v>800000</v>
          </cell>
        </row>
        <row r="5">
          <cell r="A5" t="str">
            <v>岩手県</v>
          </cell>
          <cell r="B5">
            <v>43000</v>
          </cell>
          <cell r="C5">
            <v>51000</v>
          </cell>
          <cell r="D5">
            <v>53000</v>
          </cell>
          <cell r="E5">
            <v>58000</v>
          </cell>
          <cell r="F5">
            <v>80000</v>
          </cell>
          <cell r="G5">
            <v>92000</v>
          </cell>
          <cell r="H5">
            <v>99000</v>
          </cell>
          <cell r="I5">
            <v>110000</v>
          </cell>
          <cell r="J5">
            <v>120000</v>
          </cell>
          <cell r="K5">
            <v>210000</v>
          </cell>
          <cell r="L5">
            <v>240000</v>
          </cell>
          <cell r="M5">
            <v>340000</v>
          </cell>
          <cell r="N5">
            <v>450000</v>
          </cell>
          <cell r="O5">
            <v>800000</v>
          </cell>
        </row>
        <row r="6">
          <cell r="A6" t="str">
            <v>宮城県</v>
          </cell>
          <cell r="B6">
            <v>43000</v>
          </cell>
          <cell r="C6">
            <v>51000</v>
          </cell>
          <cell r="D6">
            <v>53000</v>
          </cell>
          <cell r="E6">
            <v>58000</v>
          </cell>
          <cell r="F6">
            <v>80000</v>
          </cell>
          <cell r="G6">
            <v>92000</v>
          </cell>
          <cell r="H6">
            <v>99000</v>
          </cell>
          <cell r="I6">
            <v>110000</v>
          </cell>
          <cell r="J6">
            <v>120000</v>
          </cell>
          <cell r="K6">
            <v>210000</v>
          </cell>
          <cell r="L6">
            <v>240000</v>
          </cell>
          <cell r="M6">
            <v>340000</v>
          </cell>
          <cell r="N6">
            <v>450000</v>
          </cell>
          <cell r="O6">
            <v>800000</v>
          </cell>
        </row>
        <row r="7">
          <cell r="A7" t="str">
            <v>秋田県</v>
          </cell>
          <cell r="B7">
            <v>43000</v>
          </cell>
          <cell r="C7">
            <v>51000</v>
          </cell>
          <cell r="D7">
            <v>53000</v>
          </cell>
          <cell r="E7">
            <v>58000</v>
          </cell>
          <cell r="F7">
            <v>80000</v>
          </cell>
          <cell r="G7">
            <v>92000</v>
          </cell>
          <cell r="H7">
            <v>99000</v>
          </cell>
          <cell r="I7">
            <v>110000</v>
          </cell>
          <cell r="J7">
            <v>120000</v>
          </cell>
          <cell r="K7">
            <v>210000</v>
          </cell>
          <cell r="L7">
            <v>240000</v>
          </cell>
          <cell r="M7">
            <v>340000</v>
          </cell>
          <cell r="N7">
            <v>450000</v>
          </cell>
          <cell r="O7">
            <v>800000</v>
          </cell>
        </row>
        <row r="8">
          <cell r="A8" t="str">
            <v>山形県</v>
          </cell>
          <cell r="B8">
            <v>43000</v>
          </cell>
          <cell r="C8">
            <v>51000</v>
          </cell>
          <cell r="D8">
            <v>53000</v>
          </cell>
          <cell r="E8">
            <v>58000</v>
          </cell>
          <cell r="F8">
            <v>80000</v>
          </cell>
          <cell r="G8">
            <v>92000</v>
          </cell>
          <cell r="H8">
            <v>99000</v>
          </cell>
          <cell r="I8">
            <v>110000</v>
          </cell>
          <cell r="J8">
            <v>120000</v>
          </cell>
          <cell r="K8">
            <v>210000</v>
          </cell>
          <cell r="L8">
            <v>240000</v>
          </cell>
          <cell r="M8">
            <v>340000</v>
          </cell>
          <cell r="N8">
            <v>450000</v>
          </cell>
          <cell r="O8">
            <v>800000</v>
          </cell>
        </row>
        <row r="9">
          <cell r="A9" t="str">
            <v>福島県</v>
          </cell>
          <cell r="B9">
            <v>43000</v>
          </cell>
          <cell r="C9">
            <v>51000</v>
          </cell>
          <cell r="D9">
            <v>53000</v>
          </cell>
          <cell r="E9">
            <v>58000</v>
          </cell>
          <cell r="F9">
            <v>80000</v>
          </cell>
          <cell r="G9">
            <v>92000</v>
          </cell>
          <cell r="H9">
            <v>99000</v>
          </cell>
          <cell r="I9">
            <v>110000</v>
          </cell>
          <cell r="J9">
            <v>120000</v>
          </cell>
          <cell r="K9">
            <v>210000</v>
          </cell>
          <cell r="L9">
            <v>240000</v>
          </cell>
          <cell r="M9">
            <v>340000</v>
          </cell>
          <cell r="N9">
            <v>450000</v>
          </cell>
          <cell r="O9">
            <v>800000</v>
          </cell>
        </row>
        <row r="10">
          <cell r="A10" t="str">
            <v>東北平均</v>
          </cell>
          <cell r="B10">
            <v>43000</v>
          </cell>
          <cell r="C10">
            <v>51000</v>
          </cell>
          <cell r="D10">
            <v>53000</v>
          </cell>
          <cell r="E10">
            <v>58000</v>
          </cell>
          <cell r="F10">
            <v>80000</v>
          </cell>
          <cell r="G10">
            <v>92000</v>
          </cell>
          <cell r="H10">
            <v>99000</v>
          </cell>
          <cell r="I10">
            <v>110000</v>
          </cell>
          <cell r="J10">
            <v>120000</v>
          </cell>
          <cell r="K10">
            <v>210000</v>
          </cell>
          <cell r="L10">
            <v>240000</v>
          </cell>
          <cell r="M10">
            <v>340000</v>
          </cell>
          <cell r="N10">
            <v>450000</v>
          </cell>
          <cell r="O10">
            <v>800000</v>
          </cell>
        </row>
        <row r="11">
          <cell r="A11" t="str">
            <v>茨城県</v>
          </cell>
          <cell r="B11">
            <v>41000</v>
          </cell>
          <cell r="C11">
            <v>48000</v>
          </cell>
          <cell r="D11">
            <v>50000</v>
          </cell>
          <cell r="E11">
            <v>53000</v>
          </cell>
          <cell r="F11">
            <v>73000</v>
          </cell>
          <cell r="G11">
            <v>90000</v>
          </cell>
          <cell r="H11">
            <v>95000</v>
          </cell>
          <cell r="I11">
            <v>106000</v>
          </cell>
          <cell r="J11">
            <v>115000</v>
          </cell>
          <cell r="K11">
            <v>200000</v>
          </cell>
          <cell r="L11">
            <v>225000</v>
          </cell>
          <cell r="M11">
            <v>310000</v>
          </cell>
          <cell r="N11">
            <v>430000</v>
          </cell>
          <cell r="O11">
            <v>750000</v>
          </cell>
        </row>
        <row r="12">
          <cell r="A12" t="str">
            <v>栃木県</v>
          </cell>
          <cell r="B12">
            <v>41000</v>
          </cell>
          <cell r="C12">
            <v>48000</v>
          </cell>
          <cell r="D12">
            <v>50000</v>
          </cell>
          <cell r="E12">
            <v>53000</v>
          </cell>
          <cell r="F12">
            <v>73000</v>
          </cell>
          <cell r="G12">
            <v>90000</v>
          </cell>
          <cell r="H12">
            <v>95000</v>
          </cell>
          <cell r="I12">
            <v>106000</v>
          </cell>
          <cell r="J12">
            <v>115000</v>
          </cell>
          <cell r="K12">
            <v>200000</v>
          </cell>
          <cell r="L12">
            <v>225000</v>
          </cell>
          <cell r="M12">
            <v>310000</v>
          </cell>
          <cell r="N12">
            <v>430000</v>
          </cell>
          <cell r="O12">
            <v>750000</v>
          </cell>
        </row>
        <row r="13">
          <cell r="A13" t="str">
            <v>群馬県</v>
          </cell>
          <cell r="B13">
            <v>41000</v>
          </cell>
          <cell r="C13">
            <v>48000</v>
          </cell>
          <cell r="D13">
            <v>50000</v>
          </cell>
          <cell r="E13">
            <v>53000</v>
          </cell>
          <cell r="F13">
            <v>73000</v>
          </cell>
          <cell r="G13">
            <v>90000</v>
          </cell>
          <cell r="H13">
            <v>95000</v>
          </cell>
          <cell r="I13">
            <v>106000</v>
          </cell>
          <cell r="J13">
            <v>115000</v>
          </cell>
          <cell r="K13">
            <v>200000</v>
          </cell>
          <cell r="L13">
            <v>225000</v>
          </cell>
          <cell r="M13">
            <v>310000</v>
          </cell>
          <cell r="N13">
            <v>430000</v>
          </cell>
          <cell r="O13">
            <v>750000</v>
          </cell>
        </row>
        <row r="14">
          <cell r="A14" t="str">
            <v>埼玉県</v>
          </cell>
          <cell r="B14">
            <v>41000</v>
          </cell>
          <cell r="C14">
            <v>48000</v>
          </cell>
          <cell r="D14">
            <v>50000</v>
          </cell>
          <cell r="E14">
            <v>53000</v>
          </cell>
          <cell r="F14">
            <v>73000</v>
          </cell>
          <cell r="G14">
            <v>90000</v>
          </cell>
          <cell r="H14">
            <v>95000</v>
          </cell>
          <cell r="I14">
            <v>106000</v>
          </cell>
          <cell r="J14">
            <v>115000</v>
          </cell>
          <cell r="K14">
            <v>200000</v>
          </cell>
          <cell r="L14">
            <v>225000</v>
          </cell>
          <cell r="M14">
            <v>310000</v>
          </cell>
          <cell r="N14">
            <v>430000</v>
          </cell>
          <cell r="O14">
            <v>750000</v>
          </cell>
        </row>
        <row r="15">
          <cell r="A15" t="str">
            <v>千葉県</v>
          </cell>
          <cell r="B15">
            <v>41000</v>
          </cell>
          <cell r="C15">
            <v>48000</v>
          </cell>
          <cell r="D15">
            <v>50000</v>
          </cell>
          <cell r="E15">
            <v>53000</v>
          </cell>
          <cell r="F15">
            <v>73000</v>
          </cell>
          <cell r="G15">
            <v>90000</v>
          </cell>
          <cell r="H15">
            <v>95000</v>
          </cell>
          <cell r="I15">
            <v>106000</v>
          </cell>
          <cell r="J15">
            <v>115000</v>
          </cell>
          <cell r="K15">
            <v>200000</v>
          </cell>
          <cell r="L15">
            <v>225000</v>
          </cell>
          <cell r="M15">
            <v>310000</v>
          </cell>
          <cell r="N15">
            <v>430000</v>
          </cell>
          <cell r="O15">
            <v>750000</v>
          </cell>
        </row>
        <row r="16">
          <cell r="A16" t="str">
            <v>東京都</v>
          </cell>
          <cell r="B16">
            <v>41000</v>
          </cell>
          <cell r="C16">
            <v>48000</v>
          </cell>
          <cell r="D16">
            <v>50000</v>
          </cell>
          <cell r="E16">
            <v>53000</v>
          </cell>
          <cell r="F16">
            <v>73000</v>
          </cell>
          <cell r="G16">
            <v>90000</v>
          </cell>
          <cell r="H16">
            <v>95000</v>
          </cell>
          <cell r="I16">
            <v>106000</v>
          </cell>
          <cell r="J16">
            <v>115000</v>
          </cell>
          <cell r="K16">
            <v>200000</v>
          </cell>
          <cell r="L16">
            <v>225000</v>
          </cell>
          <cell r="M16">
            <v>310000</v>
          </cell>
          <cell r="N16">
            <v>430000</v>
          </cell>
          <cell r="O16">
            <v>750000</v>
          </cell>
        </row>
        <row r="17">
          <cell r="A17" t="str">
            <v>神奈川県</v>
          </cell>
          <cell r="B17">
            <v>41000</v>
          </cell>
          <cell r="C17">
            <v>48000</v>
          </cell>
          <cell r="D17">
            <v>50000</v>
          </cell>
          <cell r="E17">
            <v>53000</v>
          </cell>
          <cell r="F17">
            <v>73000</v>
          </cell>
          <cell r="G17">
            <v>90000</v>
          </cell>
          <cell r="H17">
            <v>95000</v>
          </cell>
          <cell r="I17">
            <v>106000</v>
          </cell>
          <cell r="J17">
            <v>115000</v>
          </cell>
          <cell r="K17">
            <v>200000</v>
          </cell>
          <cell r="L17">
            <v>225000</v>
          </cell>
          <cell r="M17">
            <v>310000</v>
          </cell>
          <cell r="N17">
            <v>430000</v>
          </cell>
          <cell r="O17">
            <v>750000</v>
          </cell>
        </row>
        <row r="18">
          <cell r="A18" t="str">
            <v>山梨県</v>
          </cell>
          <cell r="B18">
            <v>41000</v>
          </cell>
          <cell r="C18">
            <v>48000</v>
          </cell>
          <cell r="D18">
            <v>50000</v>
          </cell>
          <cell r="E18">
            <v>53000</v>
          </cell>
          <cell r="F18">
            <v>73000</v>
          </cell>
          <cell r="G18">
            <v>90000</v>
          </cell>
          <cell r="H18">
            <v>95000</v>
          </cell>
          <cell r="I18">
            <v>106000</v>
          </cell>
          <cell r="J18">
            <v>115000</v>
          </cell>
          <cell r="K18">
            <v>200000</v>
          </cell>
          <cell r="L18">
            <v>225000</v>
          </cell>
          <cell r="M18">
            <v>310000</v>
          </cell>
          <cell r="N18">
            <v>430000</v>
          </cell>
          <cell r="O18">
            <v>750000</v>
          </cell>
        </row>
        <row r="19">
          <cell r="A19" t="str">
            <v>長野県</v>
          </cell>
          <cell r="B19">
            <v>41000</v>
          </cell>
          <cell r="C19">
            <v>48000</v>
          </cell>
          <cell r="D19">
            <v>50000</v>
          </cell>
          <cell r="E19">
            <v>53000</v>
          </cell>
          <cell r="F19">
            <v>73000</v>
          </cell>
          <cell r="G19">
            <v>90000</v>
          </cell>
          <cell r="H19">
            <v>95000</v>
          </cell>
          <cell r="I19">
            <v>106000</v>
          </cell>
          <cell r="J19">
            <v>115000</v>
          </cell>
          <cell r="K19">
            <v>200000</v>
          </cell>
          <cell r="L19">
            <v>225000</v>
          </cell>
          <cell r="M19">
            <v>310000</v>
          </cell>
          <cell r="N19">
            <v>430000</v>
          </cell>
          <cell r="O19">
            <v>750000</v>
          </cell>
        </row>
        <row r="20">
          <cell r="A20" t="str">
            <v>関東平均</v>
          </cell>
          <cell r="B20">
            <v>41000</v>
          </cell>
          <cell r="C20">
            <v>48000</v>
          </cell>
          <cell r="D20">
            <v>50000</v>
          </cell>
          <cell r="E20">
            <v>53000</v>
          </cell>
          <cell r="F20">
            <v>73000</v>
          </cell>
          <cell r="G20">
            <v>90000</v>
          </cell>
          <cell r="H20">
            <v>95000</v>
          </cell>
          <cell r="I20">
            <v>106000</v>
          </cell>
          <cell r="J20">
            <v>115000</v>
          </cell>
          <cell r="K20">
            <v>200000</v>
          </cell>
          <cell r="L20">
            <v>225000</v>
          </cell>
          <cell r="M20">
            <v>310000</v>
          </cell>
          <cell r="N20">
            <v>430000</v>
          </cell>
          <cell r="O20">
            <v>750000</v>
          </cell>
        </row>
        <row r="21">
          <cell r="A21" t="str">
            <v>新潟県</v>
          </cell>
          <cell r="B21">
            <v>36000</v>
          </cell>
          <cell r="C21">
            <v>45000</v>
          </cell>
          <cell r="D21">
            <v>46000</v>
          </cell>
          <cell r="E21">
            <v>52000</v>
          </cell>
          <cell r="F21">
            <v>74000</v>
          </cell>
          <cell r="G21">
            <v>85000</v>
          </cell>
          <cell r="H21">
            <v>90000</v>
          </cell>
          <cell r="I21">
            <v>102000</v>
          </cell>
          <cell r="J21">
            <v>110000</v>
          </cell>
          <cell r="K21">
            <v>195000</v>
          </cell>
          <cell r="L21">
            <v>226000</v>
          </cell>
          <cell r="M21">
            <v>317000</v>
          </cell>
          <cell r="N21">
            <v>464000</v>
          </cell>
          <cell r="O21">
            <v>800000</v>
          </cell>
        </row>
        <row r="22">
          <cell r="A22" t="str">
            <v>富山県</v>
          </cell>
          <cell r="B22">
            <v>36000</v>
          </cell>
          <cell r="C22">
            <v>45000</v>
          </cell>
          <cell r="D22">
            <v>46000</v>
          </cell>
          <cell r="E22">
            <v>52000</v>
          </cell>
          <cell r="F22">
            <v>74000</v>
          </cell>
          <cell r="G22">
            <v>85000</v>
          </cell>
          <cell r="H22">
            <v>90000</v>
          </cell>
          <cell r="I22">
            <v>102000</v>
          </cell>
          <cell r="J22">
            <v>110000</v>
          </cell>
          <cell r="K22">
            <v>195000</v>
          </cell>
          <cell r="L22">
            <v>226000</v>
          </cell>
          <cell r="M22">
            <v>317000</v>
          </cell>
          <cell r="N22">
            <v>464000</v>
          </cell>
          <cell r="O22">
            <v>800000</v>
          </cell>
        </row>
        <row r="23">
          <cell r="A23" t="str">
            <v>石川県</v>
          </cell>
          <cell r="B23">
            <v>36000</v>
          </cell>
          <cell r="C23">
            <v>45000</v>
          </cell>
          <cell r="D23">
            <v>46000</v>
          </cell>
          <cell r="E23">
            <v>52000</v>
          </cell>
          <cell r="F23">
            <v>74000</v>
          </cell>
          <cell r="G23">
            <v>85000</v>
          </cell>
          <cell r="H23">
            <v>90000</v>
          </cell>
          <cell r="I23">
            <v>102000</v>
          </cell>
          <cell r="J23">
            <v>110000</v>
          </cell>
          <cell r="K23">
            <v>195000</v>
          </cell>
          <cell r="L23">
            <v>226000</v>
          </cell>
          <cell r="M23">
            <v>317000</v>
          </cell>
          <cell r="N23">
            <v>464000</v>
          </cell>
          <cell r="O23">
            <v>800000</v>
          </cell>
        </row>
        <row r="24">
          <cell r="A24" t="str">
            <v>北陸平均</v>
          </cell>
          <cell r="B24">
            <v>36000</v>
          </cell>
          <cell r="C24">
            <v>45000</v>
          </cell>
          <cell r="D24">
            <v>46000</v>
          </cell>
          <cell r="E24">
            <v>52000</v>
          </cell>
          <cell r="F24">
            <v>74000</v>
          </cell>
          <cell r="G24">
            <v>85000</v>
          </cell>
          <cell r="H24">
            <v>90000</v>
          </cell>
          <cell r="I24">
            <v>102000</v>
          </cell>
          <cell r="J24">
            <v>110000</v>
          </cell>
          <cell r="K24">
            <v>195000</v>
          </cell>
          <cell r="L24">
            <v>226000</v>
          </cell>
          <cell r="M24">
            <v>317000</v>
          </cell>
          <cell r="N24">
            <v>464000</v>
          </cell>
          <cell r="O24">
            <v>800000</v>
          </cell>
        </row>
        <row r="25">
          <cell r="A25" t="str">
            <v>岐阜県</v>
          </cell>
          <cell r="B25">
            <v>39000</v>
          </cell>
          <cell r="C25">
            <v>46000</v>
          </cell>
          <cell r="D25">
            <v>47000</v>
          </cell>
          <cell r="E25">
            <v>52000</v>
          </cell>
          <cell r="F25">
            <v>74000</v>
          </cell>
          <cell r="G25">
            <v>87000</v>
          </cell>
          <cell r="H25">
            <v>93000</v>
          </cell>
          <cell r="I25">
            <v>106000</v>
          </cell>
          <cell r="J25">
            <v>117000</v>
          </cell>
          <cell r="K25">
            <v>200000</v>
          </cell>
          <cell r="L25">
            <v>225000</v>
          </cell>
          <cell r="M25">
            <v>301000</v>
          </cell>
          <cell r="N25">
            <v>417000</v>
          </cell>
          <cell r="O25">
            <v>751000</v>
          </cell>
        </row>
        <row r="26">
          <cell r="A26" t="str">
            <v>静岡県</v>
          </cell>
          <cell r="B26">
            <v>39000</v>
          </cell>
          <cell r="C26">
            <v>46000</v>
          </cell>
          <cell r="D26">
            <v>47000</v>
          </cell>
          <cell r="E26">
            <v>52000</v>
          </cell>
          <cell r="F26">
            <v>74000</v>
          </cell>
          <cell r="G26">
            <v>87000</v>
          </cell>
          <cell r="H26">
            <v>93000</v>
          </cell>
          <cell r="I26">
            <v>106000</v>
          </cell>
          <cell r="J26">
            <v>117000</v>
          </cell>
          <cell r="K26">
            <v>200000</v>
          </cell>
          <cell r="L26">
            <v>225000</v>
          </cell>
          <cell r="M26">
            <v>301000</v>
          </cell>
          <cell r="N26">
            <v>417000</v>
          </cell>
          <cell r="O26">
            <v>751000</v>
          </cell>
        </row>
        <row r="27">
          <cell r="A27" t="str">
            <v>愛知県</v>
          </cell>
          <cell r="B27">
            <v>39000</v>
          </cell>
          <cell r="C27">
            <v>46000</v>
          </cell>
          <cell r="D27">
            <v>47000</v>
          </cell>
          <cell r="E27">
            <v>52000</v>
          </cell>
          <cell r="F27">
            <v>74000</v>
          </cell>
          <cell r="G27">
            <v>87000</v>
          </cell>
          <cell r="H27">
            <v>93000</v>
          </cell>
          <cell r="I27">
            <v>106000</v>
          </cell>
          <cell r="J27">
            <v>117000</v>
          </cell>
          <cell r="K27">
            <v>200000</v>
          </cell>
          <cell r="L27">
            <v>225000</v>
          </cell>
          <cell r="M27">
            <v>301000</v>
          </cell>
          <cell r="N27">
            <v>417000</v>
          </cell>
          <cell r="O27">
            <v>751000</v>
          </cell>
        </row>
        <row r="28">
          <cell r="A28" t="str">
            <v>三重県</v>
          </cell>
          <cell r="B28">
            <v>39000</v>
          </cell>
          <cell r="C28">
            <v>46000</v>
          </cell>
          <cell r="D28">
            <v>47000</v>
          </cell>
          <cell r="E28">
            <v>52000</v>
          </cell>
          <cell r="F28">
            <v>74000</v>
          </cell>
          <cell r="G28">
            <v>87000</v>
          </cell>
          <cell r="H28">
            <v>93000</v>
          </cell>
          <cell r="I28">
            <v>106000</v>
          </cell>
          <cell r="J28">
            <v>117000</v>
          </cell>
          <cell r="K28">
            <v>200000</v>
          </cell>
          <cell r="L28">
            <v>225000</v>
          </cell>
          <cell r="M28">
            <v>301000</v>
          </cell>
          <cell r="N28">
            <v>417000</v>
          </cell>
          <cell r="O28">
            <v>751000</v>
          </cell>
        </row>
        <row r="29">
          <cell r="A29" t="str">
            <v>中部平均</v>
          </cell>
          <cell r="B29">
            <v>39000</v>
          </cell>
          <cell r="C29">
            <v>46000</v>
          </cell>
          <cell r="D29">
            <v>47000</v>
          </cell>
          <cell r="E29">
            <v>52000</v>
          </cell>
          <cell r="F29">
            <v>74000</v>
          </cell>
          <cell r="G29">
            <v>87000</v>
          </cell>
          <cell r="H29">
            <v>93000</v>
          </cell>
          <cell r="I29">
            <v>106000</v>
          </cell>
          <cell r="J29">
            <v>117000</v>
          </cell>
          <cell r="K29">
            <v>200000</v>
          </cell>
          <cell r="L29">
            <v>225000</v>
          </cell>
          <cell r="M29">
            <v>301000</v>
          </cell>
          <cell r="N29">
            <v>417000</v>
          </cell>
          <cell r="O29">
            <v>751000</v>
          </cell>
        </row>
        <row r="30">
          <cell r="A30" t="str">
            <v>福井県</v>
          </cell>
          <cell r="B30">
            <v>38000</v>
          </cell>
          <cell r="C30">
            <v>45000</v>
          </cell>
          <cell r="D30">
            <v>46000</v>
          </cell>
          <cell r="E30">
            <v>51000</v>
          </cell>
          <cell r="F30">
            <v>70000</v>
          </cell>
          <cell r="G30">
            <v>85000</v>
          </cell>
          <cell r="H30">
            <v>90000</v>
          </cell>
          <cell r="I30">
            <v>100000</v>
          </cell>
          <cell r="J30">
            <v>116000</v>
          </cell>
          <cell r="K30">
            <v>200000</v>
          </cell>
          <cell r="L30">
            <v>225000</v>
          </cell>
          <cell r="M30">
            <v>310000</v>
          </cell>
          <cell r="N30">
            <v>420000</v>
          </cell>
          <cell r="O30">
            <v>720000</v>
          </cell>
        </row>
        <row r="31">
          <cell r="A31" t="str">
            <v>滋賀県</v>
          </cell>
          <cell r="B31">
            <v>38000</v>
          </cell>
          <cell r="C31">
            <v>45000</v>
          </cell>
          <cell r="D31">
            <v>46000</v>
          </cell>
          <cell r="E31">
            <v>51000</v>
          </cell>
          <cell r="F31">
            <v>70000</v>
          </cell>
          <cell r="G31">
            <v>85000</v>
          </cell>
          <cell r="H31">
            <v>90000</v>
          </cell>
          <cell r="I31">
            <v>100000</v>
          </cell>
          <cell r="J31">
            <v>116000</v>
          </cell>
          <cell r="K31">
            <v>200000</v>
          </cell>
          <cell r="L31">
            <v>225000</v>
          </cell>
          <cell r="M31">
            <v>310000</v>
          </cell>
          <cell r="N31">
            <v>420000</v>
          </cell>
          <cell r="O31">
            <v>720000</v>
          </cell>
        </row>
        <row r="32">
          <cell r="A32" t="str">
            <v>京都府</v>
          </cell>
          <cell r="B32">
            <v>38000</v>
          </cell>
          <cell r="C32">
            <v>45000</v>
          </cell>
          <cell r="D32">
            <v>46000</v>
          </cell>
          <cell r="E32">
            <v>51000</v>
          </cell>
          <cell r="F32">
            <v>70000</v>
          </cell>
          <cell r="G32">
            <v>85000</v>
          </cell>
          <cell r="H32">
            <v>90000</v>
          </cell>
          <cell r="I32">
            <v>100000</v>
          </cell>
          <cell r="J32">
            <v>116000</v>
          </cell>
          <cell r="K32">
            <v>200000</v>
          </cell>
          <cell r="L32">
            <v>225000</v>
          </cell>
          <cell r="M32">
            <v>310000</v>
          </cell>
          <cell r="N32">
            <v>420000</v>
          </cell>
          <cell r="O32">
            <v>720000</v>
          </cell>
        </row>
        <row r="33">
          <cell r="A33" t="str">
            <v>大阪府</v>
          </cell>
          <cell r="B33">
            <v>38000</v>
          </cell>
          <cell r="C33">
            <v>45000</v>
          </cell>
          <cell r="D33">
            <v>46000</v>
          </cell>
          <cell r="E33">
            <v>51000</v>
          </cell>
          <cell r="F33">
            <v>70000</v>
          </cell>
          <cell r="G33">
            <v>85000</v>
          </cell>
          <cell r="H33">
            <v>90000</v>
          </cell>
          <cell r="I33">
            <v>100000</v>
          </cell>
          <cell r="J33">
            <v>116000</v>
          </cell>
          <cell r="K33">
            <v>200000</v>
          </cell>
          <cell r="L33">
            <v>225000</v>
          </cell>
          <cell r="M33">
            <v>310000</v>
          </cell>
          <cell r="N33">
            <v>420000</v>
          </cell>
          <cell r="O33">
            <v>720000</v>
          </cell>
        </row>
        <row r="34">
          <cell r="A34" t="str">
            <v>兵庫県</v>
          </cell>
          <cell r="B34">
            <v>38000</v>
          </cell>
          <cell r="C34">
            <v>45000</v>
          </cell>
          <cell r="D34">
            <v>46000</v>
          </cell>
          <cell r="E34">
            <v>51000</v>
          </cell>
          <cell r="F34">
            <v>70000</v>
          </cell>
          <cell r="G34">
            <v>85000</v>
          </cell>
          <cell r="H34">
            <v>90000</v>
          </cell>
          <cell r="I34">
            <v>100000</v>
          </cell>
          <cell r="J34">
            <v>116000</v>
          </cell>
          <cell r="K34">
            <v>200000</v>
          </cell>
          <cell r="L34">
            <v>225000</v>
          </cell>
          <cell r="M34">
            <v>310000</v>
          </cell>
          <cell r="N34">
            <v>420000</v>
          </cell>
          <cell r="O34">
            <v>720000</v>
          </cell>
        </row>
        <row r="35">
          <cell r="A35" t="str">
            <v>奈良県</v>
          </cell>
          <cell r="B35">
            <v>38000</v>
          </cell>
          <cell r="C35">
            <v>45000</v>
          </cell>
          <cell r="D35">
            <v>46000</v>
          </cell>
          <cell r="E35">
            <v>51000</v>
          </cell>
          <cell r="F35">
            <v>70000</v>
          </cell>
          <cell r="G35">
            <v>85000</v>
          </cell>
          <cell r="H35">
            <v>90000</v>
          </cell>
          <cell r="I35">
            <v>100000</v>
          </cell>
          <cell r="J35">
            <v>116000</v>
          </cell>
          <cell r="K35">
            <v>200000</v>
          </cell>
          <cell r="L35">
            <v>225000</v>
          </cell>
          <cell r="M35">
            <v>310000</v>
          </cell>
          <cell r="N35">
            <v>420000</v>
          </cell>
          <cell r="O35">
            <v>720000</v>
          </cell>
        </row>
        <row r="36">
          <cell r="A36" t="str">
            <v>和歌山県</v>
          </cell>
          <cell r="B36">
            <v>38000</v>
          </cell>
          <cell r="C36">
            <v>45000</v>
          </cell>
          <cell r="D36">
            <v>46000</v>
          </cell>
          <cell r="E36">
            <v>51000</v>
          </cell>
          <cell r="F36">
            <v>70000</v>
          </cell>
          <cell r="G36">
            <v>85000</v>
          </cell>
          <cell r="H36">
            <v>90000</v>
          </cell>
          <cell r="I36">
            <v>100000</v>
          </cell>
          <cell r="J36">
            <v>116000</v>
          </cell>
          <cell r="K36">
            <v>200000</v>
          </cell>
          <cell r="L36">
            <v>225000</v>
          </cell>
          <cell r="M36">
            <v>310000</v>
          </cell>
          <cell r="N36">
            <v>420000</v>
          </cell>
          <cell r="O36">
            <v>720000</v>
          </cell>
        </row>
        <row r="37">
          <cell r="A37" t="str">
            <v>近畿平均</v>
          </cell>
          <cell r="B37">
            <v>38000</v>
          </cell>
          <cell r="C37">
            <v>45000</v>
          </cell>
          <cell r="D37">
            <v>46000</v>
          </cell>
          <cell r="E37">
            <v>51000</v>
          </cell>
          <cell r="F37">
            <v>70000</v>
          </cell>
          <cell r="G37">
            <v>85000</v>
          </cell>
          <cell r="H37">
            <v>90000</v>
          </cell>
          <cell r="I37">
            <v>100000</v>
          </cell>
          <cell r="J37">
            <v>116000</v>
          </cell>
          <cell r="K37">
            <v>200000</v>
          </cell>
          <cell r="L37">
            <v>225000</v>
          </cell>
          <cell r="M37">
            <v>310000</v>
          </cell>
          <cell r="N37">
            <v>420000</v>
          </cell>
          <cell r="O37">
            <v>720000</v>
          </cell>
        </row>
        <row r="38">
          <cell r="A38" t="str">
            <v>鳥取県</v>
          </cell>
          <cell r="B38">
            <v>41000</v>
          </cell>
          <cell r="C38">
            <v>50000</v>
          </cell>
          <cell r="D38">
            <v>52000</v>
          </cell>
          <cell r="E38">
            <v>55000</v>
          </cell>
          <cell r="F38">
            <v>78000</v>
          </cell>
          <cell r="G38">
            <v>88000</v>
          </cell>
          <cell r="H38">
            <v>98000</v>
          </cell>
          <cell r="I38">
            <v>110000</v>
          </cell>
          <cell r="J38">
            <v>128000</v>
          </cell>
          <cell r="K38">
            <v>200000</v>
          </cell>
          <cell r="L38">
            <v>230000</v>
          </cell>
          <cell r="M38">
            <v>320000</v>
          </cell>
          <cell r="N38">
            <v>470000</v>
          </cell>
          <cell r="O38">
            <v>780000</v>
          </cell>
        </row>
        <row r="39">
          <cell r="A39" t="str">
            <v>島根県</v>
          </cell>
          <cell r="B39">
            <v>41000</v>
          </cell>
          <cell r="C39">
            <v>50000</v>
          </cell>
          <cell r="D39">
            <v>52000</v>
          </cell>
          <cell r="E39">
            <v>55000</v>
          </cell>
          <cell r="F39">
            <v>78000</v>
          </cell>
          <cell r="G39">
            <v>88000</v>
          </cell>
          <cell r="H39">
            <v>98000</v>
          </cell>
          <cell r="I39">
            <v>110000</v>
          </cell>
          <cell r="J39">
            <v>128000</v>
          </cell>
          <cell r="K39">
            <v>200000</v>
          </cell>
          <cell r="L39">
            <v>230000</v>
          </cell>
          <cell r="M39">
            <v>320000</v>
          </cell>
          <cell r="N39">
            <v>470000</v>
          </cell>
          <cell r="O39">
            <v>780000</v>
          </cell>
        </row>
        <row r="40">
          <cell r="A40" t="str">
            <v>岡山県</v>
          </cell>
          <cell r="B40">
            <v>41000</v>
          </cell>
          <cell r="C40">
            <v>50000</v>
          </cell>
          <cell r="D40">
            <v>52000</v>
          </cell>
          <cell r="E40">
            <v>55000</v>
          </cell>
          <cell r="F40">
            <v>78000</v>
          </cell>
          <cell r="G40">
            <v>88000</v>
          </cell>
          <cell r="H40">
            <v>98000</v>
          </cell>
          <cell r="I40">
            <v>110000</v>
          </cell>
          <cell r="J40">
            <v>128000</v>
          </cell>
          <cell r="K40">
            <v>200000</v>
          </cell>
          <cell r="L40">
            <v>230000</v>
          </cell>
          <cell r="M40">
            <v>320000</v>
          </cell>
          <cell r="N40">
            <v>470000</v>
          </cell>
          <cell r="O40">
            <v>780000</v>
          </cell>
        </row>
        <row r="41">
          <cell r="A41" t="str">
            <v>広島県</v>
          </cell>
          <cell r="B41">
            <v>41000</v>
          </cell>
          <cell r="C41">
            <v>50000</v>
          </cell>
          <cell r="D41">
            <v>52000</v>
          </cell>
          <cell r="E41">
            <v>55000</v>
          </cell>
          <cell r="F41">
            <v>78000</v>
          </cell>
          <cell r="G41">
            <v>88000</v>
          </cell>
          <cell r="H41">
            <v>98000</v>
          </cell>
          <cell r="I41">
            <v>110000</v>
          </cell>
          <cell r="J41">
            <v>128000</v>
          </cell>
          <cell r="K41">
            <v>200000</v>
          </cell>
          <cell r="L41">
            <v>230000</v>
          </cell>
          <cell r="M41">
            <v>320000</v>
          </cell>
          <cell r="N41">
            <v>470000</v>
          </cell>
          <cell r="O41">
            <v>780000</v>
          </cell>
        </row>
        <row r="42">
          <cell r="A42" t="str">
            <v>山口県</v>
          </cell>
          <cell r="B42">
            <v>41000</v>
          </cell>
          <cell r="C42">
            <v>50000</v>
          </cell>
          <cell r="D42">
            <v>52000</v>
          </cell>
          <cell r="E42">
            <v>55000</v>
          </cell>
          <cell r="F42">
            <v>78000</v>
          </cell>
          <cell r="G42">
            <v>88000</v>
          </cell>
          <cell r="H42">
            <v>98000</v>
          </cell>
          <cell r="I42">
            <v>110000</v>
          </cell>
          <cell r="J42">
            <v>128000</v>
          </cell>
          <cell r="K42">
            <v>200000</v>
          </cell>
          <cell r="L42">
            <v>230000</v>
          </cell>
          <cell r="M42">
            <v>320000</v>
          </cell>
          <cell r="N42">
            <v>470000</v>
          </cell>
          <cell r="O42">
            <v>780000</v>
          </cell>
        </row>
        <row r="43">
          <cell r="A43" t="str">
            <v>中国平均</v>
          </cell>
          <cell r="B43">
            <v>41000</v>
          </cell>
          <cell r="C43">
            <v>50000</v>
          </cell>
          <cell r="D43">
            <v>52000</v>
          </cell>
          <cell r="E43">
            <v>55000</v>
          </cell>
          <cell r="F43">
            <v>78000</v>
          </cell>
          <cell r="G43">
            <v>88000</v>
          </cell>
          <cell r="H43">
            <v>98000</v>
          </cell>
          <cell r="I43">
            <v>110000</v>
          </cell>
          <cell r="J43">
            <v>128000</v>
          </cell>
          <cell r="K43">
            <v>200000</v>
          </cell>
          <cell r="L43">
            <v>230000</v>
          </cell>
          <cell r="M43">
            <v>320000</v>
          </cell>
          <cell r="N43">
            <v>470000</v>
          </cell>
          <cell r="O43">
            <v>780000</v>
          </cell>
        </row>
        <row r="44">
          <cell r="A44" t="str">
            <v>徳島県</v>
          </cell>
          <cell r="B44">
            <v>38000</v>
          </cell>
          <cell r="C44">
            <v>47000</v>
          </cell>
          <cell r="D44">
            <v>48000</v>
          </cell>
          <cell r="E44">
            <v>53000</v>
          </cell>
          <cell r="F44">
            <v>73000</v>
          </cell>
          <cell r="G44">
            <v>86000</v>
          </cell>
          <cell r="H44">
            <v>95000</v>
          </cell>
          <cell r="I44">
            <v>107000</v>
          </cell>
          <cell r="J44">
            <v>120000</v>
          </cell>
          <cell r="K44">
            <v>196000</v>
          </cell>
          <cell r="L44">
            <v>233000</v>
          </cell>
          <cell r="M44">
            <v>328000</v>
          </cell>
          <cell r="N44">
            <v>470000</v>
          </cell>
          <cell r="O44">
            <v>792000</v>
          </cell>
        </row>
        <row r="45">
          <cell r="A45" t="str">
            <v>香川県</v>
          </cell>
          <cell r="B45">
            <v>38000</v>
          </cell>
          <cell r="C45">
            <v>47000</v>
          </cell>
          <cell r="D45">
            <v>48000</v>
          </cell>
          <cell r="E45">
            <v>53000</v>
          </cell>
          <cell r="F45">
            <v>73000</v>
          </cell>
          <cell r="G45">
            <v>86000</v>
          </cell>
          <cell r="H45">
            <v>95000</v>
          </cell>
          <cell r="I45">
            <v>107000</v>
          </cell>
          <cell r="J45">
            <v>120000</v>
          </cell>
          <cell r="K45">
            <v>196000</v>
          </cell>
          <cell r="L45">
            <v>233000</v>
          </cell>
          <cell r="M45">
            <v>328000</v>
          </cell>
          <cell r="N45">
            <v>470000</v>
          </cell>
          <cell r="O45">
            <v>792000</v>
          </cell>
        </row>
        <row r="46">
          <cell r="A46" t="str">
            <v>愛媛県</v>
          </cell>
          <cell r="B46">
            <v>38000</v>
          </cell>
          <cell r="C46">
            <v>47000</v>
          </cell>
          <cell r="D46">
            <v>48000</v>
          </cell>
          <cell r="E46">
            <v>53000</v>
          </cell>
          <cell r="F46">
            <v>73000</v>
          </cell>
          <cell r="G46">
            <v>86000</v>
          </cell>
          <cell r="H46">
            <v>95000</v>
          </cell>
          <cell r="I46">
            <v>107000</v>
          </cell>
          <cell r="J46">
            <v>120000</v>
          </cell>
          <cell r="K46">
            <v>196000</v>
          </cell>
          <cell r="L46">
            <v>233000</v>
          </cell>
          <cell r="M46">
            <v>328000</v>
          </cell>
          <cell r="N46">
            <v>470000</v>
          </cell>
          <cell r="O46">
            <v>792000</v>
          </cell>
        </row>
        <row r="47">
          <cell r="A47" t="str">
            <v>高知県</v>
          </cell>
          <cell r="B47">
            <v>38000</v>
          </cell>
          <cell r="C47">
            <v>47000</v>
          </cell>
          <cell r="D47">
            <v>48000</v>
          </cell>
          <cell r="E47">
            <v>53000</v>
          </cell>
          <cell r="F47">
            <v>73000</v>
          </cell>
          <cell r="G47">
            <v>86000</v>
          </cell>
          <cell r="H47">
            <v>95000</v>
          </cell>
          <cell r="I47">
            <v>107000</v>
          </cell>
          <cell r="J47">
            <v>120000</v>
          </cell>
          <cell r="K47">
            <v>196000</v>
          </cell>
          <cell r="L47">
            <v>233000</v>
          </cell>
          <cell r="M47">
            <v>328000</v>
          </cell>
          <cell r="N47">
            <v>470000</v>
          </cell>
          <cell r="O47">
            <v>792000</v>
          </cell>
        </row>
        <row r="48">
          <cell r="A48" t="str">
            <v>四国平均</v>
          </cell>
          <cell r="B48">
            <v>38000</v>
          </cell>
          <cell r="C48">
            <v>47000</v>
          </cell>
          <cell r="D48">
            <v>48000</v>
          </cell>
          <cell r="E48">
            <v>53000</v>
          </cell>
          <cell r="F48">
            <v>73000</v>
          </cell>
          <cell r="G48">
            <v>86000</v>
          </cell>
          <cell r="H48">
            <v>95000</v>
          </cell>
          <cell r="I48">
            <v>107000</v>
          </cell>
          <cell r="J48">
            <v>120000</v>
          </cell>
          <cell r="K48">
            <v>196000</v>
          </cell>
          <cell r="L48">
            <v>233000</v>
          </cell>
          <cell r="M48">
            <v>328000</v>
          </cell>
          <cell r="N48">
            <v>470000</v>
          </cell>
          <cell r="O48">
            <v>792000</v>
          </cell>
        </row>
        <row r="49">
          <cell r="A49" t="str">
            <v>福岡県</v>
          </cell>
          <cell r="B49">
            <v>37000</v>
          </cell>
          <cell r="C49">
            <v>47000</v>
          </cell>
          <cell r="D49">
            <v>48000</v>
          </cell>
          <cell r="E49">
            <v>51000</v>
          </cell>
          <cell r="F49">
            <v>75000</v>
          </cell>
          <cell r="G49">
            <v>87000</v>
          </cell>
          <cell r="H49">
            <v>94000</v>
          </cell>
          <cell r="I49">
            <v>102000</v>
          </cell>
          <cell r="J49">
            <v>118000</v>
          </cell>
          <cell r="K49">
            <v>200000</v>
          </cell>
          <cell r="L49">
            <v>241000</v>
          </cell>
          <cell r="M49">
            <v>349000</v>
          </cell>
          <cell r="N49">
            <v>470000</v>
          </cell>
          <cell r="O49">
            <v>784000</v>
          </cell>
        </row>
        <row r="50">
          <cell r="A50" t="str">
            <v>佐賀県</v>
          </cell>
          <cell r="B50">
            <v>37000</v>
          </cell>
          <cell r="C50">
            <v>47000</v>
          </cell>
          <cell r="D50">
            <v>48000</v>
          </cell>
          <cell r="E50">
            <v>51000</v>
          </cell>
          <cell r="F50">
            <v>75000</v>
          </cell>
          <cell r="G50">
            <v>87000</v>
          </cell>
          <cell r="H50">
            <v>94000</v>
          </cell>
          <cell r="I50">
            <v>102000</v>
          </cell>
          <cell r="J50">
            <v>118000</v>
          </cell>
          <cell r="K50">
            <v>200000</v>
          </cell>
          <cell r="L50">
            <v>241000</v>
          </cell>
          <cell r="M50">
            <v>349000</v>
          </cell>
          <cell r="N50">
            <v>470000</v>
          </cell>
          <cell r="O50">
            <v>784000</v>
          </cell>
        </row>
        <row r="51">
          <cell r="A51" t="str">
            <v>長崎県</v>
          </cell>
          <cell r="B51">
            <v>37000</v>
          </cell>
          <cell r="C51">
            <v>47000</v>
          </cell>
          <cell r="D51">
            <v>48000</v>
          </cell>
          <cell r="E51">
            <v>51000</v>
          </cell>
          <cell r="F51">
            <v>75000</v>
          </cell>
          <cell r="G51">
            <v>87000</v>
          </cell>
          <cell r="H51">
            <v>94000</v>
          </cell>
          <cell r="I51">
            <v>102000</v>
          </cell>
          <cell r="J51">
            <v>118000</v>
          </cell>
          <cell r="K51">
            <v>200000</v>
          </cell>
          <cell r="L51">
            <v>241000</v>
          </cell>
          <cell r="M51">
            <v>349000</v>
          </cell>
          <cell r="N51">
            <v>470000</v>
          </cell>
          <cell r="O51">
            <v>784000</v>
          </cell>
        </row>
        <row r="52">
          <cell r="A52" t="str">
            <v>熊本県</v>
          </cell>
          <cell r="B52">
            <v>37000</v>
          </cell>
          <cell r="C52">
            <v>47000</v>
          </cell>
          <cell r="D52">
            <v>48000</v>
          </cell>
          <cell r="E52">
            <v>51000</v>
          </cell>
          <cell r="F52">
            <v>75000</v>
          </cell>
          <cell r="G52">
            <v>87000</v>
          </cell>
          <cell r="H52">
            <v>94000</v>
          </cell>
          <cell r="I52">
            <v>102000</v>
          </cell>
          <cell r="J52">
            <v>118000</v>
          </cell>
          <cell r="K52">
            <v>200000</v>
          </cell>
          <cell r="L52">
            <v>241000</v>
          </cell>
          <cell r="M52">
            <v>349000</v>
          </cell>
          <cell r="N52">
            <v>470000</v>
          </cell>
          <cell r="O52">
            <v>784000</v>
          </cell>
        </row>
        <row r="53">
          <cell r="A53" t="str">
            <v>大分県</v>
          </cell>
          <cell r="B53">
            <v>37000</v>
          </cell>
          <cell r="C53">
            <v>47000</v>
          </cell>
          <cell r="D53">
            <v>48000</v>
          </cell>
          <cell r="E53">
            <v>51000</v>
          </cell>
          <cell r="F53">
            <v>75000</v>
          </cell>
          <cell r="G53">
            <v>87000</v>
          </cell>
          <cell r="H53">
            <v>94000</v>
          </cell>
          <cell r="I53">
            <v>102000</v>
          </cell>
          <cell r="J53">
            <v>118000</v>
          </cell>
          <cell r="K53">
            <v>200000</v>
          </cell>
          <cell r="L53">
            <v>241000</v>
          </cell>
          <cell r="M53">
            <v>349000</v>
          </cell>
          <cell r="N53">
            <v>470000</v>
          </cell>
          <cell r="O53">
            <v>784000</v>
          </cell>
        </row>
        <row r="54">
          <cell r="A54" t="str">
            <v>宮崎県</v>
          </cell>
          <cell r="B54">
            <v>37000</v>
          </cell>
          <cell r="C54">
            <v>47000</v>
          </cell>
          <cell r="D54">
            <v>48000</v>
          </cell>
          <cell r="E54">
            <v>51000</v>
          </cell>
          <cell r="F54">
            <v>75000</v>
          </cell>
          <cell r="G54">
            <v>87000</v>
          </cell>
          <cell r="H54">
            <v>94000</v>
          </cell>
          <cell r="I54">
            <v>102000</v>
          </cell>
          <cell r="J54">
            <v>118000</v>
          </cell>
          <cell r="K54">
            <v>200000</v>
          </cell>
          <cell r="L54">
            <v>241000</v>
          </cell>
          <cell r="M54">
            <v>349000</v>
          </cell>
          <cell r="N54">
            <v>470000</v>
          </cell>
          <cell r="O54">
            <v>784000</v>
          </cell>
        </row>
        <row r="55">
          <cell r="A55" t="str">
            <v>鹿児島県</v>
          </cell>
          <cell r="B55">
            <v>37000</v>
          </cell>
          <cell r="C55">
            <v>47000</v>
          </cell>
          <cell r="D55">
            <v>48000</v>
          </cell>
          <cell r="E55">
            <v>51000</v>
          </cell>
          <cell r="F55">
            <v>75000</v>
          </cell>
          <cell r="G55">
            <v>87000</v>
          </cell>
          <cell r="H55">
            <v>94000</v>
          </cell>
          <cell r="I55">
            <v>102000</v>
          </cell>
          <cell r="J55">
            <v>118000</v>
          </cell>
          <cell r="K55">
            <v>200000</v>
          </cell>
          <cell r="L55">
            <v>241000</v>
          </cell>
          <cell r="M55">
            <v>349000</v>
          </cell>
          <cell r="N55">
            <v>470000</v>
          </cell>
          <cell r="O55">
            <v>784000</v>
          </cell>
        </row>
        <row r="56">
          <cell r="A56" t="str">
            <v>九州平均</v>
          </cell>
          <cell r="B56">
            <v>37000</v>
          </cell>
          <cell r="C56">
            <v>47000</v>
          </cell>
          <cell r="D56">
            <v>48000</v>
          </cell>
          <cell r="E56">
            <v>51000</v>
          </cell>
          <cell r="F56">
            <v>75000</v>
          </cell>
          <cell r="G56">
            <v>87000</v>
          </cell>
          <cell r="H56">
            <v>94000</v>
          </cell>
          <cell r="I56">
            <v>102000</v>
          </cell>
          <cell r="J56">
            <v>118000</v>
          </cell>
          <cell r="K56">
            <v>200000</v>
          </cell>
          <cell r="L56">
            <v>241000</v>
          </cell>
          <cell r="M56">
            <v>349000</v>
          </cell>
          <cell r="N56">
            <v>470000</v>
          </cell>
          <cell r="O56">
            <v>784000</v>
          </cell>
        </row>
        <row r="57">
          <cell r="A57" t="str">
            <v>沖縄県</v>
          </cell>
          <cell r="B57">
            <v>36000</v>
          </cell>
          <cell r="C57">
            <v>44000</v>
          </cell>
          <cell r="D57">
            <v>48000</v>
          </cell>
          <cell r="E57">
            <v>52000</v>
          </cell>
          <cell r="F57">
            <v>73000</v>
          </cell>
          <cell r="G57">
            <v>87000</v>
          </cell>
          <cell r="H57">
            <v>93000</v>
          </cell>
          <cell r="I57">
            <v>100000</v>
          </cell>
          <cell r="J57">
            <v>120000</v>
          </cell>
          <cell r="K57">
            <v>228000</v>
          </cell>
          <cell r="L57">
            <v>270000</v>
          </cell>
          <cell r="M57">
            <v>380000</v>
          </cell>
          <cell r="N57">
            <v>590000</v>
          </cell>
          <cell r="O57">
            <v>950000</v>
          </cell>
        </row>
        <row r="60">
          <cell r="B60">
            <v>0.8</v>
          </cell>
        </row>
        <row r="61">
          <cell r="A61" t="str">
            <v>全国平均</v>
          </cell>
          <cell r="B61">
            <v>14700</v>
          </cell>
        </row>
        <row r="62">
          <cell r="A62" t="str">
            <v>北海道</v>
          </cell>
          <cell r="B62">
            <v>14800</v>
          </cell>
        </row>
        <row r="63">
          <cell r="A63" t="str">
            <v>青森県</v>
          </cell>
          <cell r="B63">
            <v>14300</v>
          </cell>
        </row>
        <row r="64">
          <cell r="A64" t="str">
            <v>岩手県</v>
          </cell>
          <cell r="B64">
            <v>14300</v>
          </cell>
        </row>
        <row r="65">
          <cell r="A65" t="str">
            <v>宮城県</v>
          </cell>
          <cell r="B65">
            <v>14300</v>
          </cell>
        </row>
        <row r="66">
          <cell r="A66" t="str">
            <v>秋田県</v>
          </cell>
          <cell r="B66">
            <v>14300</v>
          </cell>
        </row>
        <row r="67">
          <cell r="A67" t="str">
            <v>山形県</v>
          </cell>
          <cell r="B67">
            <v>14300</v>
          </cell>
        </row>
        <row r="68">
          <cell r="A68" t="str">
            <v>福島県</v>
          </cell>
          <cell r="B68">
            <v>14300</v>
          </cell>
        </row>
        <row r="69">
          <cell r="A69" t="str">
            <v>東北平均</v>
          </cell>
          <cell r="B69">
            <v>14300</v>
          </cell>
        </row>
        <row r="70">
          <cell r="A70" t="str">
            <v>茨城県</v>
          </cell>
          <cell r="B70">
            <v>13000</v>
          </cell>
        </row>
        <row r="71">
          <cell r="A71" t="str">
            <v>栃木県</v>
          </cell>
          <cell r="B71">
            <v>13000</v>
          </cell>
        </row>
        <row r="72">
          <cell r="A72" t="str">
            <v>群馬県</v>
          </cell>
          <cell r="B72">
            <v>13000</v>
          </cell>
        </row>
        <row r="73">
          <cell r="A73" t="str">
            <v>埼玉県</v>
          </cell>
          <cell r="B73">
            <v>13000</v>
          </cell>
        </row>
        <row r="74">
          <cell r="A74" t="str">
            <v>千葉県</v>
          </cell>
          <cell r="B74">
            <v>13000</v>
          </cell>
        </row>
        <row r="75">
          <cell r="A75" t="str">
            <v>東京都</v>
          </cell>
          <cell r="B75">
            <v>13000</v>
          </cell>
        </row>
        <row r="76">
          <cell r="A76" t="str">
            <v>神奈川県</v>
          </cell>
          <cell r="B76">
            <v>13000</v>
          </cell>
        </row>
        <row r="77">
          <cell r="A77" t="str">
            <v>山梨県</v>
          </cell>
          <cell r="B77">
            <v>13000</v>
          </cell>
        </row>
        <row r="78">
          <cell r="A78" t="str">
            <v>長野県</v>
          </cell>
          <cell r="B78">
            <v>13000</v>
          </cell>
        </row>
        <row r="79">
          <cell r="A79" t="str">
            <v>関東平均</v>
          </cell>
          <cell r="B79">
            <v>13000</v>
          </cell>
        </row>
        <row r="80">
          <cell r="A80" t="str">
            <v>新潟県</v>
          </cell>
          <cell r="B80">
            <v>15000</v>
          </cell>
        </row>
        <row r="81">
          <cell r="A81" t="str">
            <v>富山県</v>
          </cell>
          <cell r="B81">
            <v>15000</v>
          </cell>
        </row>
        <row r="82">
          <cell r="A82" t="str">
            <v>石川県</v>
          </cell>
          <cell r="B82">
            <v>15000</v>
          </cell>
        </row>
        <row r="83">
          <cell r="A83" t="str">
            <v>北陸平均</v>
          </cell>
          <cell r="B83">
            <v>15000</v>
          </cell>
        </row>
        <row r="84">
          <cell r="A84" t="str">
            <v>岐阜県</v>
          </cell>
          <cell r="B84">
            <v>14500</v>
          </cell>
        </row>
        <row r="85">
          <cell r="A85" t="str">
            <v>静岡県</v>
          </cell>
          <cell r="B85">
            <v>14500</v>
          </cell>
        </row>
        <row r="86">
          <cell r="A86" t="str">
            <v>愛知県</v>
          </cell>
          <cell r="B86">
            <v>14500</v>
          </cell>
        </row>
        <row r="87">
          <cell r="A87" t="str">
            <v>三重県</v>
          </cell>
          <cell r="B87">
            <v>14500</v>
          </cell>
        </row>
        <row r="88">
          <cell r="A88" t="str">
            <v>中部平均</v>
          </cell>
          <cell r="B88">
            <v>14500</v>
          </cell>
        </row>
        <row r="89">
          <cell r="A89" t="str">
            <v>福井県</v>
          </cell>
          <cell r="B89">
            <v>14200</v>
          </cell>
        </row>
        <row r="90">
          <cell r="A90" t="str">
            <v>滋賀県</v>
          </cell>
          <cell r="B90">
            <v>14200</v>
          </cell>
        </row>
        <row r="91">
          <cell r="A91" t="str">
            <v>京都府</v>
          </cell>
          <cell r="B91">
            <v>14200</v>
          </cell>
        </row>
        <row r="92">
          <cell r="A92" t="str">
            <v>大阪府</v>
          </cell>
          <cell r="B92">
            <v>14200</v>
          </cell>
        </row>
        <row r="93">
          <cell r="A93" t="str">
            <v>兵庫県</v>
          </cell>
          <cell r="B93">
            <v>14200</v>
          </cell>
        </row>
        <row r="94">
          <cell r="A94" t="str">
            <v>奈良県</v>
          </cell>
          <cell r="B94">
            <v>14200</v>
          </cell>
        </row>
        <row r="95">
          <cell r="A95" t="str">
            <v>和歌山県</v>
          </cell>
          <cell r="B95">
            <v>14200</v>
          </cell>
        </row>
        <row r="96">
          <cell r="A96" t="str">
            <v>近畿平均</v>
          </cell>
          <cell r="B96">
            <v>14200</v>
          </cell>
        </row>
        <row r="97">
          <cell r="A97" t="str">
            <v>鳥取県</v>
          </cell>
          <cell r="B97">
            <v>16200</v>
          </cell>
        </row>
        <row r="98">
          <cell r="A98" t="str">
            <v>島根県</v>
          </cell>
          <cell r="B98">
            <v>16200</v>
          </cell>
        </row>
        <row r="99">
          <cell r="A99" t="str">
            <v>岡山県</v>
          </cell>
          <cell r="B99">
            <v>16200</v>
          </cell>
        </row>
        <row r="100">
          <cell r="A100" t="str">
            <v>広島県</v>
          </cell>
          <cell r="B100">
            <v>16200</v>
          </cell>
        </row>
        <row r="101">
          <cell r="A101" t="str">
            <v>山口県</v>
          </cell>
          <cell r="B101">
            <v>16200</v>
          </cell>
        </row>
        <row r="102">
          <cell r="A102" t="str">
            <v>中国平均</v>
          </cell>
          <cell r="B102">
            <v>16200</v>
          </cell>
        </row>
        <row r="103">
          <cell r="A103" t="str">
            <v>徳島県</v>
          </cell>
          <cell r="B103">
            <v>15200</v>
          </cell>
        </row>
        <row r="104">
          <cell r="A104" t="str">
            <v>香川県</v>
          </cell>
          <cell r="B104">
            <v>15200</v>
          </cell>
        </row>
        <row r="105">
          <cell r="A105" t="str">
            <v>愛媛県</v>
          </cell>
          <cell r="B105">
            <v>15200</v>
          </cell>
        </row>
        <row r="106">
          <cell r="A106" t="str">
            <v>高知県</v>
          </cell>
          <cell r="B106">
            <v>15200</v>
          </cell>
        </row>
        <row r="107">
          <cell r="A107" t="str">
            <v>四国平均</v>
          </cell>
          <cell r="B107">
            <v>15200</v>
          </cell>
        </row>
        <row r="108">
          <cell r="A108" t="str">
            <v>福岡県</v>
          </cell>
          <cell r="B108">
            <v>16000</v>
          </cell>
        </row>
        <row r="109">
          <cell r="A109" t="str">
            <v>佐賀県</v>
          </cell>
          <cell r="B109">
            <v>16000</v>
          </cell>
        </row>
        <row r="110">
          <cell r="A110" t="str">
            <v>長崎県</v>
          </cell>
          <cell r="B110">
            <v>16000</v>
          </cell>
        </row>
        <row r="111">
          <cell r="A111" t="str">
            <v>熊本県</v>
          </cell>
          <cell r="B111">
            <v>16000</v>
          </cell>
        </row>
        <row r="112">
          <cell r="A112" t="str">
            <v>大分県</v>
          </cell>
          <cell r="B112">
            <v>16000</v>
          </cell>
        </row>
        <row r="113">
          <cell r="A113" t="str">
            <v>宮崎県</v>
          </cell>
          <cell r="B113">
            <v>16000</v>
          </cell>
        </row>
        <row r="114">
          <cell r="A114" t="str">
            <v>鹿児島県</v>
          </cell>
          <cell r="B114">
            <v>16000</v>
          </cell>
        </row>
        <row r="115">
          <cell r="A115" t="str">
            <v>九州平均</v>
          </cell>
          <cell r="B115">
            <v>16000</v>
          </cell>
        </row>
        <row r="116">
          <cell r="A116" t="str">
            <v>沖縄県</v>
          </cell>
          <cell r="B116">
            <v>16500</v>
          </cell>
        </row>
      </sheetData>
      <sheetData sheetId="21">
        <row r="3">
          <cell r="X3">
            <v>10</v>
          </cell>
          <cell r="Y3">
            <v>20</v>
          </cell>
          <cell r="Z3">
            <v>30</v>
          </cell>
          <cell r="AA3">
            <v>40</v>
          </cell>
          <cell r="AB3">
            <v>50</v>
          </cell>
          <cell r="AC3">
            <v>60</v>
          </cell>
          <cell r="AD3">
            <v>70</v>
          </cell>
          <cell r="AE3">
            <v>80</v>
          </cell>
          <cell r="AF3">
            <v>90</v>
          </cell>
          <cell r="AG3">
            <v>100</v>
          </cell>
          <cell r="AH3">
            <v>130</v>
          </cell>
          <cell r="AI3">
            <v>160</v>
          </cell>
          <cell r="AJ3">
            <v>260</v>
          </cell>
          <cell r="AK3">
            <v>400</v>
          </cell>
          <cell r="BD3">
            <v>50</v>
          </cell>
          <cell r="BE3">
            <v>75</v>
          </cell>
          <cell r="BF3">
            <v>100</v>
          </cell>
          <cell r="BG3">
            <v>125</v>
          </cell>
          <cell r="BH3">
            <v>150</v>
          </cell>
          <cell r="BI3">
            <v>175</v>
          </cell>
          <cell r="BJ3">
            <v>200</v>
          </cell>
          <cell r="BK3">
            <v>250</v>
          </cell>
        </row>
        <row r="4">
          <cell r="W4">
            <v>6</v>
          </cell>
          <cell r="X4">
            <v>2450</v>
          </cell>
          <cell r="Y4">
            <v>2570</v>
          </cell>
          <cell r="Z4">
            <v>3250</v>
          </cell>
          <cell r="AA4">
            <v>3360</v>
          </cell>
          <cell r="AB4">
            <v>3360</v>
          </cell>
          <cell r="AC4">
            <v>19400</v>
          </cell>
          <cell r="AD4">
            <v>19600</v>
          </cell>
          <cell r="AE4">
            <v>19600</v>
          </cell>
          <cell r="AF4">
            <v>19600</v>
          </cell>
          <cell r="AG4">
            <v>19600</v>
          </cell>
          <cell r="AH4">
            <v>46400</v>
          </cell>
          <cell r="AI4">
            <v>49800</v>
          </cell>
          <cell r="AJ4">
            <v>49800</v>
          </cell>
          <cell r="AK4">
            <v>54400</v>
          </cell>
          <cell r="BC4">
            <v>30</v>
          </cell>
          <cell r="BD4">
            <v>29300</v>
          </cell>
          <cell r="BE4">
            <v>29900</v>
          </cell>
          <cell r="BF4">
            <v>30500</v>
          </cell>
          <cell r="BG4">
            <v>31100</v>
          </cell>
          <cell r="BH4">
            <v>32600</v>
          </cell>
          <cell r="BI4">
            <v>33300</v>
          </cell>
          <cell r="BJ4">
            <v>33900</v>
          </cell>
          <cell r="BK4">
            <v>35200</v>
          </cell>
        </row>
        <row r="5">
          <cell r="W5">
            <v>7</v>
          </cell>
          <cell r="X5">
            <v>2600</v>
          </cell>
          <cell r="Y5">
            <v>2720</v>
          </cell>
          <cell r="Z5">
            <v>3400</v>
          </cell>
          <cell r="AA5">
            <v>3510</v>
          </cell>
          <cell r="AB5">
            <v>3510</v>
          </cell>
          <cell r="AC5">
            <v>19700</v>
          </cell>
          <cell r="AD5">
            <v>19900</v>
          </cell>
          <cell r="AE5">
            <v>19900</v>
          </cell>
          <cell r="AF5">
            <v>19900</v>
          </cell>
          <cell r="AG5">
            <v>19900</v>
          </cell>
          <cell r="AH5">
            <v>46800</v>
          </cell>
          <cell r="AI5">
            <v>50200</v>
          </cell>
          <cell r="AJ5">
            <v>50200</v>
          </cell>
          <cell r="AK5">
            <v>54700</v>
          </cell>
          <cell r="BC5">
            <v>45</v>
          </cell>
          <cell r="BD5">
            <v>29300</v>
          </cell>
          <cell r="BE5">
            <v>29900</v>
          </cell>
          <cell r="BF5">
            <v>30500</v>
          </cell>
          <cell r="BG5">
            <v>31100</v>
          </cell>
          <cell r="BH5">
            <v>32600</v>
          </cell>
          <cell r="BI5">
            <v>33300</v>
          </cell>
          <cell r="BJ5">
            <v>33900</v>
          </cell>
          <cell r="BK5">
            <v>35200</v>
          </cell>
        </row>
        <row r="6">
          <cell r="W6">
            <v>8</v>
          </cell>
          <cell r="X6">
            <v>2750</v>
          </cell>
          <cell r="Y6">
            <v>2870</v>
          </cell>
          <cell r="Z6">
            <v>3550</v>
          </cell>
          <cell r="AA6">
            <v>3660</v>
          </cell>
          <cell r="AB6">
            <v>3660</v>
          </cell>
          <cell r="AC6">
            <v>19900</v>
          </cell>
          <cell r="AD6">
            <v>20100</v>
          </cell>
          <cell r="AE6">
            <v>20100</v>
          </cell>
          <cell r="AF6">
            <v>20100</v>
          </cell>
          <cell r="AG6">
            <v>20100</v>
          </cell>
          <cell r="AH6">
            <v>47200</v>
          </cell>
          <cell r="AI6">
            <v>50600</v>
          </cell>
          <cell r="AJ6">
            <v>50600</v>
          </cell>
          <cell r="AK6">
            <v>55100</v>
          </cell>
          <cell r="BC6">
            <v>60</v>
          </cell>
          <cell r="BD6">
            <v>29600</v>
          </cell>
          <cell r="BE6">
            <v>30200</v>
          </cell>
          <cell r="BF6">
            <v>30800</v>
          </cell>
          <cell r="BG6">
            <v>31300</v>
          </cell>
          <cell r="BH6">
            <v>32900</v>
          </cell>
          <cell r="BI6">
            <v>33600</v>
          </cell>
          <cell r="BJ6">
            <v>34200</v>
          </cell>
          <cell r="BK6">
            <v>35500</v>
          </cell>
        </row>
        <row r="7">
          <cell r="W7">
            <v>9</v>
          </cell>
          <cell r="X7">
            <v>2900</v>
          </cell>
          <cell r="Y7">
            <v>3020</v>
          </cell>
          <cell r="Z7">
            <v>3700</v>
          </cell>
          <cell r="AA7">
            <v>3810</v>
          </cell>
          <cell r="AB7">
            <v>3810</v>
          </cell>
          <cell r="AC7">
            <v>20100</v>
          </cell>
          <cell r="AD7">
            <v>20300</v>
          </cell>
          <cell r="AE7">
            <v>20300</v>
          </cell>
          <cell r="AF7">
            <v>20300</v>
          </cell>
          <cell r="AG7">
            <v>20300</v>
          </cell>
          <cell r="AH7">
            <v>47500</v>
          </cell>
          <cell r="AI7">
            <v>50900</v>
          </cell>
          <cell r="AJ7">
            <v>50900</v>
          </cell>
          <cell r="AK7">
            <v>55500</v>
          </cell>
        </row>
        <row r="8">
          <cell r="W8">
            <v>10</v>
          </cell>
          <cell r="X8">
            <v>3060</v>
          </cell>
          <cell r="Y8">
            <v>3170</v>
          </cell>
          <cell r="Z8">
            <v>3850</v>
          </cell>
          <cell r="AA8">
            <v>3970</v>
          </cell>
          <cell r="AB8">
            <v>3970</v>
          </cell>
          <cell r="AC8">
            <v>20300</v>
          </cell>
          <cell r="AD8">
            <v>20600</v>
          </cell>
          <cell r="AE8">
            <v>20600</v>
          </cell>
          <cell r="AF8">
            <v>20600</v>
          </cell>
          <cell r="AG8">
            <v>20600</v>
          </cell>
          <cell r="AH8">
            <v>47900</v>
          </cell>
          <cell r="AI8">
            <v>51300</v>
          </cell>
          <cell r="AJ8">
            <v>51300</v>
          </cell>
          <cell r="AK8">
            <v>55900</v>
          </cell>
        </row>
        <row r="9">
          <cell r="W9">
            <v>12</v>
          </cell>
          <cell r="X9">
            <v>3360</v>
          </cell>
          <cell r="Y9">
            <v>3480</v>
          </cell>
          <cell r="Z9">
            <v>4160</v>
          </cell>
          <cell r="AA9">
            <v>4270</v>
          </cell>
          <cell r="AB9">
            <v>4270</v>
          </cell>
          <cell r="AC9">
            <v>20800</v>
          </cell>
          <cell r="AD9">
            <v>21000</v>
          </cell>
          <cell r="AE9">
            <v>21000</v>
          </cell>
          <cell r="AF9">
            <v>21000</v>
          </cell>
          <cell r="AG9">
            <v>21000</v>
          </cell>
          <cell r="AH9">
            <v>48700</v>
          </cell>
          <cell r="AI9">
            <v>52100</v>
          </cell>
          <cell r="AJ9">
            <v>52100</v>
          </cell>
          <cell r="AK9">
            <v>56600</v>
          </cell>
        </row>
        <row r="10">
          <cell r="W10">
            <v>14</v>
          </cell>
          <cell r="X10">
            <v>3670</v>
          </cell>
          <cell r="Y10">
            <v>3780</v>
          </cell>
          <cell r="Z10">
            <v>4460</v>
          </cell>
          <cell r="AA10">
            <v>4570</v>
          </cell>
          <cell r="AB10">
            <v>4570</v>
          </cell>
          <cell r="AC10">
            <v>21300</v>
          </cell>
          <cell r="AD10">
            <v>21500</v>
          </cell>
          <cell r="AE10">
            <v>21500</v>
          </cell>
          <cell r="AF10">
            <v>21500</v>
          </cell>
          <cell r="AG10">
            <v>21500</v>
          </cell>
          <cell r="AH10">
            <v>49400</v>
          </cell>
          <cell r="AI10">
            <v>52800</v>
          </cell>
          <cell r="AJ10">
            <v>52800</v>
          </cell>
          <cell r="AK10">
            <v>57400</v>
          </cell>
        </row>
        <row r="11">
          <cell r="W11">
            <v>16</v>
          </cell>
          <cell r="X11">
            <v>3970</v>
          </cell>
          <cell r="Y11">
            <v>4090</v>
          </cell>
          <cell r="Z11">
            <v>4770</v>
          </cell>
          <cell r="AA11">
            <v>4880</v>
          </cell>
          <cell r="AB11">
            <v>4880</v>
          </cell>
          <cell r="AC11">
            <v>21700</v>
          </cell>
          <cell r="AD11">
            <v>22000</v>
          </cell>
          <cell r="AE11">
            <v>22000</v>
          </cell>
          <cell r="AF11">
            <v>22000</v>
          </cell>
          <cell r="AG11">
            <v>22000</v>
          </cell>
          <cell r="AH11">
            <v>50200</v>
          </cell>
          <cell r="AI11">
            <v>53600</v>
          </cell>
          <cell r="AJ11">
            <v>53600</v>
          </cell>
          <cell r="AK11">
            <v>58100</v>
          </cell>
        </row>
        <row r="12">
          <cell r="W12">
            <v>18</v>
          </cell>
          <cell r="X12">
            <v>4270</v>
          </cell>
          <cell r="Y12">
            <v>4390</v>
          </cell>
          <cell r="Z12">
            <v>5070</v>
          </cell>
          <cell r="AA12">
            <v>5180</v>
          </cell>
          <cell r="AB12">
            <v>5180</v>
          </cell>
          <cell r="AC12">
            <v>22200</v>
          </cell>
          <cell r="AD12">
            <v>22400</v>
          </cell>
          <cell r="AE12">
            <v>22400</v>
          </cell>
          <cell r="AF12">
            <v>22400</v>
          </cell>
          <cell r="AG12">
            <v>22400</v>
          </cell>
          <cell r="AH12">
            <v>50900</v>
          </cell>
          <cell r="AI12">
            <v>54300</v>
          </cell>
          <cell r="AJ12">
            <v>54300</v>
          </cell>
          <cell r="AK12">
            <v>58900</v>
          </cell>
        </row>
        <row r="13">
          <cell r="W13">
            <v>20</v>
          </cell>
          <cell r="X13">
            <v>4580</v>
          </cell>
          <cell r="Y13">
            <v>4700</v>
          </cell>
          <cell r="Z13">
            <v>5380</v>
          </cell>
          <cell r="AA13">
            <v>5490</v>
          </cell>
          <cell r="AB13">
            <v>5490</v>
          </cell>
          <cell r="AC13">
            <v>22700</v>
          </cell>
          <cell r="AD13">
            <v>22900</v>
          </cell>
          <cell r="AE13">
            <v>22900</v>
          </cell>
          <cell r="AF13">
            <v>22900</v>
          </cell>
          <cell r="AG13">
            <v>22900</v>
          </cell>
          <cell r="AH13">
            <v>51700</v>
          </cell>
          <cell r="AI13">
            <v>55100</v>
          </cell>
          <cell r="AJ13">
            <v>55100</v>
          </cell>
          <cell r="AK13">
            <v>59600</v>
          </cell>
        </row>
        <row r="14">
          <cell r="W14">
            <v>22</v>
          </cell>
          <cell r="X14">
            <v>4890</v>
          </cell>
          <cell r="Y14">
            <v>5000</v>
          </cell>
          <cell r="Z14">
            <v>5680</v>
          </cell>
          <cell r="AA14">
            <v>5790</v>
          </cell>
          <cell r="AB14">
            <v>5790</v>
          </cell>
          <cell r="AC14">
            <v>23100</v>
          </cell>
          <cell r="AD14">
            <v>23300</v>
          </cell>
          <cell r="AE14">
            <v>23300</v>
          </cell>
          <cell r="AF14">
            <v>23300</v>
          </cell>
          <cell r="AG14">
            <v>23300</v>
          </cell>
          <cell r="AH14">
            <v>52400</v>
          </cell>
          <cell r="AI14">
            <v>55800</v>
          </cell>
          <cell r="AJ14">
            <v>55800</v>
          </cell>
          <cell r="AK14">
            <v>60400</v>
          </cell>
        </row>
        <row r="15">
          <cell r="W15">
            <v>24</v>
          </cell>
          <cell r="X15">
            <v>5190</v>
          </cell>
          <cell r="Y15">
            <v>5310</v>
          </cell>
          <cell r="Z15">
            <v>5990</v>
          </cell>
          <cell r="AA15">
            <v>6100</v>
          </cell>
          <cell r="AB15">
            <v>6100</v>
          </cell>
          <cell r="AC15">
            <v>23600</v>
          </cell>
          <cell r="AD15">
            <v>23800</v>
          </cell>
          <cell r="AE15">
            <v>23800</v>
          </cell>
          <cell r="AF15">
            <v>23800</v>
          </cell>
          <cell r="AG15">
            <v>23800</v>
          </cell>
          <cell r="AH15">
            <v>53200</v>
          </cell>
          <cell r="AI15">
            <v>56600</v>
          </cell>
          <cell r="AJ15">
            <v>56600</v>
          </cell>
          <cell r="AK15">
            <v>61100</v>
          </cell>
        </row>
        <row r="16">
          <cell r="W16">
            <v>26</v>
          </cell>
          <cell r="X16">
            <v>5490</v>
          </cell>
          <cell r="Y16">
            <v>5610</v>
          </cell>
          <cell r="Z16">
            <v>6290</v>
          </cell>
          <cell r="AA16">
            <v>6400</v>
          </cell>
          <cell r="AB16">
            <v>6400</v>
          </cell>
          <cell r="AC16">
            <v>24100</v>
          </cell>
          <cell r="AD16">
            <v>24300</v>
          </cell>
          <cell r="AE16">
            <v>24300</v>
          </cell>
          <cell r="AF16">
            <v>24300</v>
          </cell>
          <cell r="AG16">
            <v>24300</v>
          </cell>
          <cell r="AH16">
            <v>53900</v>
          </cell>
          <cell r="AI16">
            <v>57300</v>
          </cell>
          <cell r="AJ16">
            <v>57300</v>
          </cell>
          <cell r="AK16">
            <v>61900</v>
          </cell>
        </row>
        <row r="17">
          <cell r="W17">
            <v>28</v>
          </cell>
          <cell r="X17">
            <v>5800</v>
          </cell>
          <cell r="Y17">
            <v>5910</v>
          </cell>
          <cell r="Z17">
            <v>6590</v>
          </cell>
          <cell r="AA17">
            <v>6700</v>
          </cell>
          <cell r="AB17">
            <v>6700</v>
          </cell>
          <cell r="AC17">
            <v>24500</v>
          </cell>
          <cell r="AD17">
            <v>24700</v>
          </cell>
          <cell r="AE17">
            <v>24700</v>
          </cell>
          <cell r="AF17">
            <v>24700</v>
          </cell>
          <cell r="AG17">
            <v>24700</v>
          </cell>
          <cell r="AH17">
            <v>54700</v>
          </cell>
          <cell r="AI17">
            <v>58100</v>
          </cell>
          <cell r="AJ17">
            <v>58100</v>
          </cell>
          <cell r="AK17">
            <v>62600</v>
          </cell>
        </row>
        <row r="18">
          <cell r="W18">
            <v>30</v>
          </cell>
          <cell r="X18">
            <v>6100</v>
          </cell>
          <cell r="Y18">
            <v>6220</v>
          </cell>
          <cell r="Z18">
            <v>6900</v>
          </cell>
          <cell r="AA18">
            <v>7010</v>
          </cell>
          <cell r="AB18">
            <v>7010</v>
          </cell>
          <cell r="AC18">
            <v>25000</v>
          </cell>
          <cell r="AD18">
            <v>25200</v>
          </cell>
          <cell r="AE18">
            <v>25200</v>
          </cell>
          <cell r="AF18">
            <v>25200</v>
          </cell>
          <cell r="AG18">
            <v>25200</v>
          </cell>
          <cell r="AH18">
            <v>55400</v>
          </cell>
          <cell r="AI18">
            <v>58800</v>
          </cell>
          <cell r="AJ18">
            <v>58800</v>
          </cell>
          <cell r="AK18">
            <v>63400</v>
          </cell>
        </row>
        <row r="21">
          <cell r="X21">
            <v>10</v>
          </cell>
          <cell r="Y21">
            <v>20</v>
          </cell>
          <cell r="Z21">
            <v>30</v>
          </cell>
          <cell r="AA21">
            <v>40</v>
          </cell>
          <cell r="AB21">
            <v>50</v>
          </cell>
          <cell r="AC21">
            <v>60</v>
          </cell>
          <cell r="AD21">
            <v>70</v>
          </cell>
          <cell r="AE21">
            <v>80</v>
          </cell>
          <cell r="AF21">
            <v>90</v>
          </cell>
          <cell r="AG21">
            <v>100</v>
          </cell>
          <cell r="AH21">
            <v>150</v>
          </cell>
          <cell r="AI21">
            <v>200</v>
          </cell>
          <cell r="AJ21">
            <v>300</v>
          </cell>
          <cell r="AK21">
            <v>400</v>
          </cell>
        </row>
        <row r="22">
          <cell r="W22">
            <v>0.5</v>
          </cell>
          <cell r="X22">
            <v>4890</v>
          </cell>
          <cell r="Y22">
            <v>4890</v>
          </cell>
          <cell r="Z22">
            <v>5160</v>
          </cell>
          <cell r="AA22">
            <v>5770</v>
          </cell>
          <cell r="AB22">
            <v>5770</v>
          </cell>
          <cell r="AC22">
            <v>6280</v>
          </cell>
          <cell r="AD22">
            <v>6280</v>
          </cell>
          <cell r="AE22">
            <v>6840</v>
          </cell>
          <cell r="AF22">
            <v>6840</v>
          </cell>
          <cell r="AG22">
            <v>6840</v>
          </cell>
          <cell r="AH22">
            <v>9310</v>
          </cell>
          <cell r="AI22">
            <v>10700</v>
          </cell>
          <cell r="AJ22">
            <v>18000</v>
          </cell>
          <cell r="AK22">
            <v>20800</v>
          </cell>
        </row>
        <row r="23">
          <cell r="W23">
            <v>1</v>
          </cell>
          <cell r="X23">
            <v>5470</v>
          </cell>
          <cell r="Y23">
            <v>5470</v>
          </cell>
          <cell r="Z23">
            <v>5730</v>
          </cell>
          <cell r="AA23">
            <v>6350</v>
          </cell>
          <cell r="AB23">
            <v>6350</v>
          </cell>
          <cell r="AC23">
            <v>6860</v>
          </cell>
          <cell r="AD23">
            <v>6860</v>
          </cell>
          <cell r="AE23">
            <v>7420</v>
          </cell>
          <cell r="AF23">
            <v>7420</v>
          </cell>
          <cell r="AG23">
            <v>7420</v>
          </cell>
          <cell r="AH23">
            <v>9890</v>
          </cell>
          <cell r="AI23">
            <v>11300</v>
          </cell>
          <cell r="AJ23">
            <v>18600</v>
          </cell>
          <cell r="AK23">
            <v>21400</v>
          </cell>
        </row>
        <row r="24">
          <cell r="W24">
            <v>1.5</v>
          </cell>
          <cell r="X24">
            <v>6040</v>
          </cell>
          <cell r="Y24">
            <v>6040</v>
          </cell>
          <cell r="Z24">
            <v>6310</v>
          </cell>
          <cell r="AA24">
            <v>6920</v>
          </cell>
          <cell r="AB24">
            <v>6920</v>
          </cell>
          <cell r="AC24">
            <v>7440</v>
          </cell>
          <cell r="AD24">
            <v>7440</v>
          </cell>
          <cell r="AE24">
            <v>7990</v>
          </cell>
          <cell r="AF24">
            <v>7990</v>
          </cell>
          <cell r="AG24">
            <v>7990</v>
          </cell>
          <cell r="AH24">
            <v>10400</v>
          </cell>
          <cell r="AI24">
            <v>11800</v>
          </cell>
          <cell r="AJ24">
            <v>19200</v>
          </cell>
          <cell r="AK24">
            <v>22000</v>
          </cell>
        </row>
        <row r="25">
          <cell r="W25">
            <v>2</v>
          </cell>
          <cell r="X25">
            <v>6620</v>
          </cell>
          <cell r="Y25">
            <v>6620</v>
          </cell>
          <cell r="Z25">
            <v>6890</v>
          </cell>
          <cell r="AA25">
            <v>7500</v>
          </cell>
          <cell r="AB25">
            <v>7500</v>
          </cell>
          <cell r="AC25">
            <v>8010</v>
          </cell>
          <cell r="AD25">
            <v>8010</v>
          </cell>
          <cell r="AE25">
            <v>8570</v>
          </cell>
          <cell r="AF25">
            <v>8570</v>
          </cell>
          <cell r="AG25">
            <v>8570</v>
          </cell>
          <cell r="AH25">
            <v>11000</v>
          </cell>
          <cell r="AI25">
            <v>12400</v>
          </cell>
          <cell r="AJ25">
            <v>19700</v>
          </cell>
          <cell r="AK25">
            <v>22600</v>
          </cell>
        </row>
        <row r="26">
          <cell r="W26">
            <v>2.5</v>
          </cell>
          <cell r="X26">
            <v>7200</v>
          </cell>
          <cell r="Y26">
            <v>7200</v>
          </cell>
          <cell r="Z26">
            <v>7460</v>
          </cell>
          <cell r="AA26">
            <v>8080</v>
          </cell>
          <cell r="AB26">
            <v>8080</v>
          </cell>
          <cell r="AC26">
            <v>8590</v>
          </cell>
          <cell r="AD26">
            <v>8590</v>
          </cell>
          <cell r="AE26">
            <v>9150</v>
          </cell>
          <cell r="AF26">
            <v>9150</v>
          </cell>
          <cell r="AG26">
            <v>9150</v>
          </cell>
          <cell r="AH26">
            <v>11600</v>
          </cell>
          <cell r="AI26">
            <v>13000</v>
          </cell>
          <cell r="AJ26">
            <v>20300</v>
          </cell>
          <cell r="AK26">
            <v>23100</v>
          </cell>
        </row>
        <row r="27">
          <cell r="W27">
            <v>3</v>
          </cell>
          <cell r="X27">
            <v>10300</v>
          </cell>
          <cell r="Y27">
            <v>10300</v>
          </cell>
          <cell r="Z27">
            <v>10600</v>
          </cell>
          <cell r="AA27">
            <v>11200</v>
          </cell>
          <cell r="AB27">
            <v>11200</v>
          </cell>
          <cell r="AC27">
            <v>11700</v>
          </cell>
          <cell r="AD27">
            <v>11700</v>
          </cell>
          <cell r="AE27">
            <v>12200</v>
          </cell>
          <cell r="AF27">
            <v>12200</v>
          </cell>
          <cell r="AG27">
            <v>12200</v>
          </cell>
          <cell r="AH27">
            <v>14700</v>
          </cell>
          <cell r="AI27">
            <v>16100</v>
          </cell>
          <cell r="AJ27">
            <v>23500</v>
          </cell>
          <cell r="AK27">
            <v>26300</v>
          </cell>
        </row>
        <row r="28">
          <cell r="W28">
            <v>3.5</v>
          </cell>
          <cell r="X28">
            <v>11300</v>
          </cell>
          <cell r="Y28">
            <v>11300</v>
          </cell>
          <cell r="Z28">
            <v>11600</v>
          </cell>
          <cell r="AA28">
            <v>12200</v>
          </cell>
          <cell r="AB28">
            <v>12200</v>
          </cell>
          <cell r="AC28">
            <v>12700</v>
          </cell>
          <cell r="AD28">
            <v>12700</v>
          </cell>
          <cell r="AE28">
            <v>13300</v>
          </cell>
          <cell r="AF28">
            <v>13300</v>
          </cell>
          <cell r="AG28">
            <v>13300</v>
          </cell>
          <cell r="AH28">
            <v>15700</v>
          </cell>
          <cell r="AI28">
            <v>17100</v>
          </cell>
          <cell r="AJ28">
            <v>24500</v>
          </cell>
          <cell r="AK28">
            <v>27300</v>
          </cell>
        </row>
        <row r="29">
          <cell r="W29">
            <v>4</v>
          </cell>
          <cell r="X29">
            <v>12300</v>
          </cell>
          <cell r="Y29">
            <v>12300</v>
          </cell>
          <cell r="Z29">
            <v>12600</v>
          </cell>
          <cell r="AA29">
            <v>13200</v>
          </cell>
          <cell r="AB29">
            <v>13200</v>
          </cell>
          <cell r="AC29">
            <v>13700</v>
          </cell>
          <cell r="AD29">
            <v>13700</v>
          </cell>
          <cell r="AE29">
            <v>14300</v>
          </cell>
          <cell r="AF29">
            <v>14300</v>
          </cell>
          <cell r="AG29">
            <v>14300</v>
          </cell>
          <cell r="AH29">
            <v>16700</v>
          </cell>
          <cell r="AI29">
            <v>18100</v>
          </cell>
          <cell r="AJ29">
            <v>25500</v>
          </cell>
          <cell r="AK29">
            <v>28300</v>
          </cell>
        </row>
        <row r="63">
          <cell r="AN63">
            <v>5</v>
          </cell>
          <cell r="AO63">
            <v>10</v>
          </cell>
          <cell r="AP63">
            <v>15</v>
          </cell>
          <cell r="AQ63">
            <v>20</v>
          </cell>
          <cell r="AR63">
            <v>25</v>
          </cell>
          <cell r="AS63">
            <v>30</v>
          </cell>
          <cell r="AV63">
            <v>5</v>
          </cell>
          <cell r="AW63">
            <v>10</v>
          </cell>
          <cell r="AX63">
            <v>15</v>
          </cell>
          <cell r="AY63">
            <v>20</v>
          </cell>
          <cell r="AZ63">
            <v>25</v>
          </cell>
          <cell r="BA63">
            <v>30</v>
          </cell>
        </row>
        <row r="64">
          <cell r="AM64">
            <v>10</v>
          </cell>
          <cell r="AN64">
            <v>3.9</v>
          </cell>
          <cell r="AO64">
            <v>6</v>
          </cell>
          <cell r="AP64">
            <v>8</v>
          </cell>
          <cell r="AQ64">
            <v>10</v>
          </cell>
          <cell r="AR64">
            <v>12</v>
          </cell>
          <cell r="AS64">
            <v>14.1</v>
          </cell>
          <cell r="AU64">
            <v>10</v>
          </cell>
          <cell r="AV64">
            <v>3360</v>
          </cell>
          <cell r="AW64">
            <v>5170</v>
          </cell>
          <cell r="AX64">
            <v>6890</v>
          </cell>
          <cell r="AY64">
            <v>8620</v>
          </cell>
          <cell r="AZ64">
            <v>10300</v>
          </cell>
          <cell r="BA64">
            <v>12100</v>
          </cell>
        </row>
        <row r="65">
          <cell r="AM65">
            <v>12.5</v>
          </cell>
          <cell r="AN65">
            <v>4.8</v>
          </cell>
          <cell r="AO65">
            <v>6.8</v>
          </cell>
          <cell r="AP65">
            <v>8.9</v>
          </cell>
          <cell r="AQ65">
            <v>10.9</v>
          </cell>
          <cell r="AR65">
            <v>12.9</v>
          </cell>
          <cell r="AS65">
            <v>15</v>
          </cell>
          <cell r="AU65">
            <v>12.5</v>
          </cell>
          <cell r="AV65">
            <v>4130</v>
          </cell>
          <cell r="AW65">
            <v>5860</v>
          </cell>
          <cell r="AX65">
            <v>7670</v>
          </cell>
          <cell r="AY65">
            <v>9400</v>
          </cell>
          <cell r="AZ65">
            <v>11100</v>
          </cell>
          <cell r="BA65">
            <v>12900</v>
          </cell>
        </row>
        <row r="66">
          <cell r="AM66">
            <v>15</v>
          </cell>
          <cell r="AN66">
            <v>5.8</v>
          </cell>
          <cell r="AO66">
            <v>7.9</v>
          </cell>
          <cell r="AP66">
            <v>9.9</v>
          </cell>
          <cell r="AQ66">
            <v>12</v>
          </cell>
          <cell r="AR66">
            <v>14</v>
          </cell>
          <cell r="AS66">
            <v>16</v>
          </cell>
          <cell r="AU66">
            <v>15</v>
          </cell>
          <cell r="AV66">
            <v>5000</v>
          </cell>
          <cell r="AW66">
            <v>6810</v>
          </cell>
          <cell r="AX66">
            <v>8530</v>
          </cell>
          <cell r="AY66">
            <v>10300</v>
          </cell>
          <cell r="AZ66">
            <v>12000</v>
          </cell>
          <cell r="BA66">
            <v>13700</v>
          </cell>
        </row>
        <row r="67">
          <cell r="AM67">
            <v>17.5</v>
          </cell>
          <cell r="AN67">
            <v>7.1</v>
          </cell>
          <cell r="AO67">
            <v>9.1</v>
          </cell>
          <cell r="AP67">
            <v>11.2</v>
          </cell>
          <cell r="AQ67">
            <v>13.2</v>
          </cell>
          <cell r="AR67">
            <v>15.2</v>
          </cell>
          <cell r="AS67">
            <v>17.3</v>
          </cell>
          <cell r="AU67">
            <v>17.5</v>
          </cell>
          <cell r="AV67">
            <v>6120</v>
          </cell>
          <cell r="AW67">
            <v>7840</v>
          </cell>
          <cell r="AX67">
            <v>9650</v>
          </cell>
          <cell r="AY67">
            <v>11300</v>
          </cell>
          <cell r="AZ67">
            <v>13100</v>
          </cell>
          <cell r="BA67">
            <v>14900</v>
          </cell>
        </row>
        <row r="68">
          <cell r="AM68">
            <v>20</v>
          </cell>
          <cell r="AN68">
            <v>8.5</v>
          </cell>
          <cell r="AO68">
            <v>10.6</v>
          </cell>
          <cell r="AP68">
            <v>12.6</v>
          </cell>
          <cell r="AQ68">
            <v>14.7</v>
          </cell>
          <cell r="AR68">
            <v>16.7</v>
          </cell>
          <cell r="AS68">
            <v>18.8</v>
          </cell>
          <cell r="AU68">
            <v>20</v>
          </cell>
          <cell r="AV68">
            <v>7330</v>
          </cell>
          <cell r="AW68">
            <v>9140</v>
          </cell>
          <cell r="AX68">
            <v>10800</v>
          </cell>
          <cell r="AY68">
            <v>12600</v>
          </cell>
          <cell r="AZ68">
            <v>14400</v>
          </cell>
          <cell r="BA68">
            <v>16200</v>
          </cell>
        </row>
        <row r="69">
          <cell r="AM69">
            <v>22.5</v>
          </cell>
          <cell r="AN69">
            <v>10.199999999999999</v>
          </cell>
          <cell r="AO69">
            <v>12.2</v>
          </cell>
          <cell r="AP69">
            <v>14.3</v>
          </cell>
          <cell r="AQ69">
            <v>16.3</v>
          </cell>
          <cell r="AR69">
            <v>18.3</v>
          </cell>
          <cell r="AS69">
            <v>20.399999999999999</v>
          </cell>
          <cell r="AU69">
            <v>22.5</v>
          </cell>
          <cell r="AV69">
            <v>8790</v>
          </cell>
          <cell r="AW69">
            <v>10500</v>
          </cell>
          <cell r="AX69">
            <v>12300</v>
          </cell>
          <cell r="AY69">
            <v>14000</v>
          </cell>
          <cell r="AZ69">
            <v>15700</v>
          </cell>
          <cell r="BA69">
            <v>17500</v>
          </cell>
        </row>
        <row r="70">
          <cell r="AM70">
            <v>25</v>
          </cell>
          <cell r="AN70">
            <v>12</v>
          </cell>
          <cell r="AO70">
            <v>14.1</v>
          </cell>
          <cell r="AP70">
            <v>16.100000000000001</v>
          </cell>
          <cell r="AQ70">
            <v>18.2</v>
          </cell>
          <cell r="AR70">
            <v>20.2</v>
          </cell>
          <cell r="AS70">
            <v>22.2</v>
          </cell>
          <cell r="AU70">
            <v>25</v>
          </cell>
          <cell r="AV70">
            <v>10300</v>
          </cell>
          <cell r="AW70">
            <v>12100</v>
          </cell>
          <cell r="AX70">
            <v>13800</v>
          </cell>
          <cell r="AY70">
            <v>15600</v>
          </cell>
          <cell r="AZ70">
            <v>17400</v>
          </cell>
          <cell r="BA70">
            <v>19100</v>
          </cell>
        </row>
        <row r="71">
          <cell r="AM71">
            <v>27.5</v>
          </cell>
          <cell r="AN71">
            <v>14.1</v>
          </cell>
          <cell r="AO71">
            <v>16.100000000000001</v>
          </cell>
          <cell r="AP71">
            <v>18.2</v>
          </cell>
          <cell r="AQ71">
            <v>20.2</v>
          </cell>
          <cell r="AR71">
            <v>22.2</v>
          </cell>
          <cell r="AS71">
            <v>24.3</v>
          </cell>
          <cell r="AU71">
            <v>27.5</v>
          </cell>
          <cell r="AV71">
            <v>12100</v>
          </cell>
          <cell r="AW71">
            <v>13800</v>
          </cell>
          <cell r="AX71">
            <v>15600</v>
          </cell>
          <cell r="AY71">
            <v>17400</v>
          </cell>
          <cell r="AZ71">
            <v>19100</v>
          </cell>
          <cell r="BA71">
            <v>20900</v>
          </cell>
        </row>
        <row r="72">
          <cell r="AM72">
            <v>30</v>
          </cell>
          <cell r="AN72">
            <v>16.3</v>
          </cell>
          <cell r="AO72">
            <v>18.399999999999999</v>
          </cell>
          <cell r="AP72">
            <v>20.399999999999999</v>
          </cell>
          <cell r="AQ72">
            <v>22.4</v>
          </cell>
          <cell r="AR72">
            <v>24.4</v>
          </cell>
          <cell r="AS72">
            <v>26.5</v>
          </cell>
          <cell r="AU72">
            <v>30</v>
          </cell>
          <cell r="AV72">
            <v>14000</v>
          </cell>
          <cell r="AW72">
            <v>15800</v>
          </cell>
          <cell r="AX72">
            <v>17500</v>
          </cell>
          <cell r="AY72">
            <v>19300</v>
          </cell>
          <cell r="AZ72">
            <v>21000</v>
          </cell>
          <cell r="BA72">
            <v>22800</v>
          </cell>
        </row>
        <row r="73">
          <cell r="AM73">
            <v>32.5</v>
          </cell>
          <cell r="AN73">
            <v>18.7</v>
          </cell>
          <cell r="AO73">
            <v>20.8</v>
          </cell>
          <cell r="AP73">
            <v>22.8</v>
          </cell>
          <cell r="AQ73">
            <v>24.8</v>
          </cell>
          <cell r="AR73">
            <v>26.8</v>
          </cell>
          <cell r="AS73">
            <v>28.9</v>
          </cell>
          <cell r="AU73">
            <v>32.5</v>
          </cell>
          <cell r="AV73">
            <v>16100</v>
          </cell>
          <cell r="AW73">
            <v>17900</v>
          </cell>
          <cell r="AX73">
            <v>19600</v>
          </cell>
          <cell r="AY73">
            <v>21300</v>
          </cell>
          <cell r="AZ73">
            <v>23100</v>
          </cell>
          <cell r="BA73">
            <v>24900</v>
          </cell>
        </row>
        <row r="74">
          <cell r="AM74">
            <v>35</v>
          </cell>
          <cell r="AN74">
            <v>21.3</v>
          </cell>
          <cell r="AO74">
            <v>23.4</v>
          </cell>
          <cell r="AP74">
            <v>25.4</v>
          </cell>
          <cell r="AQ74">
            <v>27.5</v>
          </cell>
          <cell r="AR74">
            <v>29.5</v>
          </cell>
          <cell r="AS74">
            <v>31.5</v>
          </cell>
          <cell r="AU74">
            <v>35</v>
          </cell>
          <cell r="AV74">
            <v>18300</v>
          </cell>
          <cell r="AW74">
            <v>20100</v>
          </cell>
          <cell r="AX74">
            <v>21900</v>
          </cell>
          <cell r="AY74">
            <v>23700</v>
          </cell>
          <cell r="AZ74">
            <v>25400</v>
          </cell>
          <cell r="BA74">
            <v>27100</v>
          </cell>
        </row>
        <row r="75">
          <cell r="AM75">
            <v>37.5</v>
          </cell>
          <cell r="AN75">
            <v>24.1</v>
          </cell>
          <cell r="AO75">
            <v>26.2</v>
          </cell>
          <cell r="AP75">
            <v>28.2</v>
          </cell>
          <cell r="AQ75">
            <v>30.3</v>
          </cell>
          <cell r="AR75">
            <v>32.299999999999997</v>
          </cell>
          <cell r="AS75">
            <v>34.4</v>
          </cell>
          <cell r="AU75">
            <v>37.5</v>
          </cell>
          <cell r="AV75">
            <v>20700</v>
          </cell>
          <cell r="AW75">
            <v>22500</v>
          </cell>
          <cell r="AX75">
            <v>24300</v>
          </cell>
          <cell r="AY75">
            <v>26100</v>
          </cell>
          <cell r="AZ75">
            <v>27800</v>
          </cell>
          <cell r="BA75">
            <v>29600</v>
          </cell>
        </row>
        <row r="76">
          <cell r="AM76">
            <v>40</v>
          </cell>
          <cell r="AN76">
            <v>27.1</v>
          </cell>
          <cell r="AO76">
            <v>29.2</v>
          </cell>
          <cell r="AP76">
            <v>31.2</v>
          </cell>
          <cell r="AQ76">
            <v>33.299999999999997</v>
          </cell>
          <cell r="AR76">
            <v>35.299999999999997</v>
          </cell>
          <cell r="AS76">
            <v>37.4</v>
          </cell>
          <cell r="AU76">
            <v>40</v>
          </cell>
          <cell r="AV76">
            <v>23300</v>
          </cell>
          <cell r="AW76">
            <v>25100</v>
          </cell>
          <cell r="AX76">
            <v>26900</v>
          </cell>
          <cell r="AY76">
            <v>28700</v>
          </cell>
          <cell r="AZ76">
            <v>30400</v>
          </cell>
          <cell r="BA76">
            <v>32200</v>
          </cell>
        </row>
        <row r="77">
          <cell r="AM77">
            <v>42.5</v>
          </cell>
          <cell r="AN77">
            <v>30.3</v>
          </cell>
          <cell r="AO77">
            <v>32.4</v>
          </cell>
          <cell r="AP77">
            <v>34.4</v>
          </cell>
          <cell r="AQ77">
            <v>36.5</v>
          </cell>
          <cell r="AR77">
            <v>38.5</v>
          </cell>
          <cell r="AS77">
            <v>40.6</v>
          </cell>
          <cell r="AU77">
            <v>42.5</v>
          </cell>
          <cell r="AV77">
            <v>26100</v>
          </cell>
          <cell r="AW77">
            <v>27900</v>
          </cell>
          <cell r="AX77">
            <v>29600</v>
          </cell>
          <cell r="AY77">
            <v>31400</v>
          </cell>
          <cell r="AZ77">
            <v>33200</v>
          </cell>
          <cell r="BA77">
            <v>35000</v>
          </cell>
        </row>
        <row r="78">
          <cell r="AM78">
            <v>45</v>
          </cell>
          <cell r="AN78">
            <v>33.700000000000003</v>
          </cell>
          <cell r="AO78">
            <v>35.799999999999997</v>
          </cell>
          <cell r="AP78">
            <v>37.799999999999997</v>
          </cell>
          <cell r="AQ78">
            <v>39.9</v>
          </cell>
          <cell r="AR78">
            <v>41.9</v>
          </cell>
          <cell r="AS78">
            <v>43.9</v>
          </cell>
          <cell r="AU78">
            <v>45</v>
          </cell>
          <cell r="AV78">
            <v>29000</v>
          </cell>
          <cell r="AW78">
            <v>30800</v>
          </cell>
          <cell r="AX78">
            <v>32500</v>
          </cell>
          <cell r="AY78">
            <v>34400</v>
          </cell>
          <cell r="AZ78">
            <v>36100</v>
          </cell>
          <cell r="BA78">
            <v>37800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1"/>
  <sheetViews>
    <sheetView tabSelected="1" workbookViewId="0"/>
  </sheetViews>
  <sheetFormatPr defaultColWidth="5.625" defaultRowHeight="12"/>
  <cols>
    <col min="1" max="7" width="5.625" style="2"/>
    <col min="8" max="8" width="7.625" style="2" bestFit="1" customWidth="1"/>
    <col min="9" max="13" width="5.625" style="2"/>
    <col min="14" max="14" width="6.625" style="2" customWidth="1"/>
    <col min="15" max="263" width="5.625" style="2"/>
    <col min="264" max="264" width="7.625" style="2" bestFit="1" customWidth="1"/>
    <col min="265" max="269" width="5.625" style="2"/>
    <col min="270" max="270" width="6.625" style="2" customWidth="1"/>
    <col min="271" max="519" width="5.625" style="2"/>
    <col min="520" max="520" width="7.625" style="2" bestFit="1" customWidth="1"/>
    <col min="521" max="525" width="5.625" style="2"/>
    <col min="526" max="526" width="6.625" style="2" customWidth="1"/>
    <col min="527" max="775" width="5.625" style="2"/>
    <col min="776" max="776" width="7.625" style="2" bestFit="1" customWidth="1"/>
    <col min="777" max="781" width="5.625" style="2"/>
    <col min="782" max="782" width="6.625" style="2" customWidth="1"/>
    <col min="783" max="1031" width="5.625" style="2"/>
    <col min="1032" max="1032" width="7.625" style="2" bestFit="1" customWidth="1"/>
    <col min="1033" max="1037" width="5.625" style="2"/>
    <col min="1038" max="1038" width="6.625" style="2" customWidth="1"/>
    <col min="1039" max="1287" width="5.625" style="2"/>
    <col min="1288" max="1288" width="7.625" style="2" bestFit="1" customWidth="1"/>
    <col min="1289" max="1293" width="5.625" style="2"/>
    <col min="1294" max="1294" width="6.625" style="2" customWidth="1"/>
    <col min="1295" max="1543" width="5.625" style="2"/>
    <col min="1544" max="1544" width="7.625" style="2" bestFit="1" customWidth="1"/>
    <col min="1545" max="1549" width="5.625" style="2"/>
    <col min="1550" max="1550" width="6.625" style="2" customWidth="1"/>
    <col min="1551" max="1799" width="5.625" style="2"/>
    <col min="1800" max="1800" width="7.625" style="2" bestFit="1" customWidth="1"/>
    <col min="1801" max="1805" width="5.625" style="2"/>
    <col min="1806" max="1806" width="6.625" style="2" customWidth="1"/>
    <col min="1807" max="2055" width="5.625" style="2"/>
    <col min="2056" max="2056" width="7.625" style="2" bestFit="1" customWidth="1"/>
    <col min="2057" max="2061" width="5.625" style="2"/>
    <col min="2062" max="2062" width="6.625" style="2" customWidth="1"/>
    <col min="2063" max="2311" width="5.625" style="2"/>
    <col min="2312" max="2312" width="7.625" style="2" bestFit="1" customWidth="1"/>
    <col min="2313" max="2317" width="5.625" style="2"/>
    <col min="2318" max="2318" width="6.625" style="2" customWidth="1"/>
    <col min="2319" max="2567" width="5.625" style="2"/>
    <col min="2568" max="2568" width="7.625" style="2" bestFit="1" customWidth="1"/>
    <col min="2569" max="2573" width="5.625" style="2"/>
    <col min="2574" max="2574" width="6.625" style="2" customWidth="1"/>
    <col min="2575" max="2823" width="5.625" style="2"/>
    <col min="2824" max="2824" width="7.625" style="2" bestFit="1" customWidth="1"/>
    <col min="2825" max="2829" width="5.625" style="2"/>
    <col min="2830" max="2830" width="6.625" style="2" customWidth="1"/>
    <col min="2831" max="3079" width="5.625" style="2"/>
    <col min="3080" max="3080" width="7.625" style="2" bestFit="1" customWidth="1"/>
    <col min="3081" max="3085" width="5.625" style="2"/>
    <col min="3086" max="3086" width="6.625" style="2" customWidth="1"/>
    <col min="3087" max="3335" width="5.625" style="2"/>
    <col min="3336" max="3336" width="7.625" style="2" bestFit="1" customWidth="1"/>
    <col min="3337" max="3341" width="5.625" style="2"/>
    <col min="3342" max="3342" width="6.625" style="2" customWidth="1"/>
    <col min="3343" max="3591" width="5.625" style="2"/>
    <col min="3592" max="3592" width="7.625" style="2" bestFit="1" customWidth="1"/>
    <col min="3593" max="3597" width="5.625" style="2"/>
    <col min="3598" max="3598" width="6.625" style="2" customWidth="1"/>
    <col min="3599" max="3847" width="5.625" style="2"/>
    <col min="3848" max="3848" width="7.625" style="2" bestFit="1" customWidth="1"/>
    <col min="3849" max="3853" width="5.625" style="2"/>
    <col min="3854" max="3854" width="6.625" style="2" customWidth="1"/>
    <col min="3855" max="4103" width="5.625" style="2"/>
    <col min="4104" max="4104" width="7.625" style="2" bestFit="1" customWidth="1"/>
    <col min="4105" max="4109" width="5.625" style="2"/>
    <col min="4110" max="4110" width="6.625" style="2" customWidth="1"/>
    <col min="4111" max="4359" width="5.625" style="2"/>
    <col min="4360" max="4360" width="7.625" style="2" bestFit="1" customWidth="1"/>
    <col min="4361" max="4365" width="5.625" style="2"/>
    <col min="4366" max="4366" width="6.625" style="2" customWidth="1"/>
    <col min="4367" max="4615" width="5.625" style="2"/>
    <col min="4616" max="4616" width="7.625" style="2" bestFit="1" customWidth="1"/>
    <col min="4617" max="4621" width="5.625" style="2"/>
    <col min="4622" max="4622" width="6.625" style="2" customWidth="1"/>
    <col min="4623" max="4871" width="5.625" style="2"/>
    <col min="4872" max="4872" width="7.625" style="2" bestFit="1" customWidth="1"/>
    <col min="4873" max="4877" width="5.625" style="2"/>
    <col min="4878" max="4878" width="6.625" style="2" customWidth="1"/>
    <col min="4879" max="5127" width="5.625" style="2"/>
    <col min="5128" max="5128" width="7.625" style="2" bestFit="1" customWidth="1"/>
    <col min="5129" max="5133" width="5.625" style="2"/>
    <col min="5134" max="5134" width="6.625" style="2" customWidth="1"/>
    <col min="5135" max="5383" width="5.625" style="2"/>
    <col min="5384" max="5384" width="7.625" style="2" bestFit="1" customWidth="1"/>
    <col min="5385" max="5389" width="5.625" style="2"/>
    <col min="5390" max="5390" width="6.625" style="2" customWidth="1"/>
    <col min="5391" max="5639" width="5.625" style="2"/>
    <col min="5640" max="5640" width="7.625" style="2" bestFit="1" customWidth="1"/>
    <col min="5641" max="5645" width="5.625" style="2"/>
    <col min="5646" max="5646" width="6.625" style="2" customWidth="1"/>
    <col min="5647" max="5895" width="5.625" style="2"/>
    <col min="5896" max="5896" width="7.625" style="2" bestFit="1" customWidth="1"/>
    <col min="5897" max="5901" width="5.625" style="2"/>
    <col min="5902" max="5902" width="6.625" style="2" customWidth="1"/>
    <col min="5903" max="6151" width="5.625" style="2"/>
    <col min="6152" max="6152" width="7.625" style="2" bestFit="1" customWidth="1"/>
    <col min="6153" max="6157" width="5.625" style="2"/>
    <col min="6158" max="6158" width="6.625" style="2" customWidth="1"/>
    <col min="6159" max="6407" width="5.625" style="2"/>
    <col min="6408" max="6408" width="7.625" style="2" bestFit="1" customWidth="1"/>
    <col min="6409" max="6413" width="5.625" style="2"/>
    <col min="6414" max="6414" width="6.625" style="2" customWidth="1"/>
    <col min="6415" max="6663" width="5.625" style="2"/>
    <col min="6664" max="6664" width="7.625" style="2" bestFit="1" customWidth="1"/>
    <col min="6665" max="6669" width="5.625" style="2"/>
    <col min="6670" max="6670" width="6.625" style="2" customWidth="1"/>
    <col min="6671" max="6919" width="5.625" style="2"/>
    <col min="6920" max="6920" width="7.625" style="2" bestFit="1" customWidth="1"/>
    <col min="6921" max="6925" width="5.625" style="2"/>
    <col min="6926" max="6926" width="6.625" style="2" customWidth="1"/>
    <col min="6927" max="7175" width="5.625" style="2"/>
    <col min="7176" max="7176" width="7.625" style="2" bestFit="1" customWidth="1"/>
    <col min="7177" max="7181" width="5.625" style="2"/>
    <col min="7182" max="7182" width="6.625" style="2" customWidth="1"/>
    <col min="7183" max="7431" width="5.625" style="2"/>
    <col min="7432" max="7432" width="7.625" style="2" bestFit="1" customWidth="1"/>
    <col min="7433" max="7437" width="5.625" style="2"/>
    <col min="7438" max="7438" width="6.625" style="2" customWidth="1"/>
    <col min="7439" max="7687" width="5.625" style="2"/>
    <col min="7688" max="7688" width="7.625" style="2" bestFit="1" customWidth="1"/>
    <col min="7689" max="7693" width="5.625" style="2"/>
    <col min="7694" max="7694" width="6.625" style="2" customWidth="1"/>
    <col min="7695" max="7943" width="5.625" style="2"/>
    <col min="7944" max="7944" width="7.625" style="2" bestFit="1" customWidth="1"/>
    <col min="7945" max="7949" width="5.625" style="2"/>
    <col min="7950" max="7950" width="6.625" style="2" customWidth="1"/>
    <col min="7951" max="8199" width="5.625" style="2"/>
    <col min="8200" max="8200" width="7.625" style="2" bestFit="1" customWidth="1"/>
    <col min="8201" max="8205" width="5.625" style="2"/>
    <col min="8206" max="8206" width="6.625" style="2" customWidth="1"/>
    <col min="8207" max="8455" width="5.625" style="2"/>
    <col min="8456" max="8456" width="7.625" style="2" bestFit="1" customWidth="1"/>
    <col min="8457" max="8461" width="5.625" style="2"/>
    <col min="8462" max="8462" width="6.625" style="2" customWidth="1"/>
    <col min="8463" max="8711" width="5.625" style="2"/>
    <col min="8712" max="8712" width="7.625" style="2" bestFit="1" customWidth="1"/>
    <col min="8713" max="8717" width="5.625" style="2"/>
    <col min="8718" max="8718" width="6.625" style="2" customWidth="1"/>
    <col min="8719" max="8967" width="5.625" style="2"/>
    <col min="8968" max="8968" width="7.625" style="2" bestFit="1" customWidth="1"/>
    <col min="8969" max="8973" width="5.625" style="2"/>
    <col min="8974" max="8974" width="6.625" style="2" customWidth="1"/>
    <col min="8975" max="9223" width="5.625" style="2"/>
    <col min="9224" max="9224" width="7.625" style="2" bestFit="1" customWidth="1"/>
    <col min="9225" max="9229" width="5.625" style="2"/>
    <col min="9230" max="9230" width="6.625" style="2" customWidth="1"/>
    <col min="9231" max="9479" width="5.625" style="2"/>
    <col min="9480" max="9480" width="7.625" style="2" bestFit="1" customWidth="1"/>
    <col min="9481" max="9485" width="5.625" style="2"/>
    <col min="9486" max="9486" width="6.625" style="2" customWidth="1"/>
    <col min="9487" max="9735" width="5.625" style="2"/>
    <col min="9736" max="9736" width="7.625" style="2" bestFit="1" customWidth="1"/>
    <col min="9737" max="9741" width="5.625" style="2"/>
    <col min="9742" max="9742" width="6.625" style="2" customWidth="1"/>
    <col min="9743" max="9991" width="5.625" style="2"/>
    <col min="9992" max="9992" width="7.625" style="2" bestFit="1" customWidth="1"/>
    <col min="9993" max="9997" width="5.625" style="2"/>
    <col min="9998" max="9998" width="6.625" style="2" customWidth="1"/>
    <col min="9999" max="10247" width="5.625" style="2"/>
    <col min="10248" max="10248" width="7.625" style="2" bestFit="1" customWidth="1"/>
    <col min="10249" max="10253" width="5.625" style="2"/>
    <col min="10254" max="10254" width="6.625" style="2" customWidth="1"/>
    <col min="10255" max="10503" width="5.625" style="2"/>
    <col min="10504" max="10504" width="7.625" style="2" bestFit="1" customWidth="1"/>
    <col min="10505" max="10509" width="5.625" style="2"/>
    <col min="10510" max="10510" width="6.625" style="2" customWidth="1"/>
    <col min="10511" max="10759" width="5.625" style="2"/>
    <col min="10760" max="10760" width="7.625" style="2" bestFit="1" customWidth="1"/>
    <col min="10761" max="10765" width="5.625" style="2"/>
    <col min="10766" max="10766" width="6.625" style="2" customWidth="1"/>
    <col min="10767" max="11015" width="5.625" style="2"/>
    <col min="11016" max="11016" width="7.625" style="2" bestFit="1" customWidth="1"/>
    <col min="11017" max="11021" width="5.625" style="2"/>
    <col min="11022" max="11022" width="6.625" style="2" customWidth="1"/>
    <col min="11023" max="11271" width="5.625" style="2"/>
    <col min="11272" max="11272" width="7.625" style="2" bestFit="1" customWidth="1"/>
    <col min="11273" max="11277" width="5.625" style="2"/>
    <col min="11278" max="11278" width="6.625" style="2" customWidth="1"/>
    <col min="11279" max="11527" width="5.625" style="2"/>
    <col min="11528" max="11528" width="7.625" style="2" bestFit="1" customWidth="1"/>
    <col min="11529" max="11533" width="5.625" style="2"/>
    <col min="11534" max="11534" width="6.625" style="2" customWidth="1"/>
    <col min="11535" max="11783" width="5.625" style="2"/>
    <col min="11784" max="11784" width="7.625" style="2" bestFit="1" customWidth="1"/>
    <col min="11785" max="11789" width="5.625" style="2"/>
    <col min="11790" max="11790" width="6.625" style="2" customWidth="1"/>
    <col min="11791" max="12039" width="5.625" style="2"/>
    <col min="12040" max="12040" width="7.625" style="2" bestFit="1" customWidth="1"/>
    <col min="12041" max="12045" width="5.625" style="2"/>
    <col min="12046" max="12046" width="6.625" style="2" customWidth="1"/>
    <col min="12047" max="12295" width="5.625" style="2"/>
    <col min="12296" max="12296" width="7.625" style="2" bestFit="1" customWidth="1"/>
    <col min="12297" max="12301" width="5.625" style="2"/>
    <col min="12302" max="12302" width="6.625" style="2" customWidth="1"/>
    <col min="12303" max="12551" width="5.625" style="2"/>
    <col min="12552" max="12552" width="7.625" style="2" bestFit="1" customWidth="1"/>
    <col min="12553" max="12557" width="5.625" style="2"/>
    <col min="12558" max="12558" width="6.625" style="2" customWidth="1"/>
    <col min="12559" max="12807" width="5.625" style="2"/>
    <col min="12808" max="12808" width="7.625" style="2" bestFit="1" customWidth="1"/>
    <col min="12809" max="12813" width="5.625" style="2"/>
    <col min="12814" max="12814" width="6.625" style="2" customWidth="1"/>
    <col min="12815" max="13063" width="5.625" style="2"/>
    <col min="13064" max="13064" width="7.625" style="2" bestFit="1" customWidth="1"/>
    <col min="13065" max="13069" width="5.625" style="2"/>
    <col min="13070" max="13070" width="6.625" style="2" customWidth="1"/>
    <col min="13071" max="13319" width="5.625" style="2"/>
    <col min="13320" max="13320" width="7.625" style="2" bestFit="1" customWidth="1"/>
    <col min="13321" max="13325" width="5.625" style="2"/>
    <col min="13326" max="13326" width="6.625" style="2" customWidth="1"/>
    <col min="13327" max="13575" width="5.625" style="2"/>
    <col min="13576" max="13576" width="7.625" style="2" bestFit="1" customWidth="1"/>
    <col min="13577" max="13581" width="5.625" style="2"/>
    <col min="13582" max="13582" width="6.625" style="2" customWidth="1"/>
    <col min="13583" max="13831" width="5.625" style="2"/>
    <col min="13832" max="13832" width="7.625" style="2" bestFit="1" customWidth="1"/>
    <col min="13833" max="13837" width="5.625" style="2"/>
    <col min="13838" max="13838" width="6.625" style="2" customWidth="1"/>
    <col min="13839" max="14087" width="5.625" style="2"/>
    <col min="14088" max="14088" width="7.625" style="2" bestFit="1" customWidth="1"/>
    <col min="14089" max="14093" width="5.625" style="2"/>
    <col min="14094" max="14094" width="6.625" style="2" customWidth="1"/>
    <col min="14095" max="14343" width="5.625" style="2"/>
    <col min="14344" max="14344" width="7.625" style="2" bestFit="1" customWidth="1"/>
    <col min="14345" max="14349" width="5.625" style="2"/>
    <col min="14350" max="14350" width="6.625" style="2" customWidth="1"/>
    <col min="14351" max="14599" width="5.625" style="2"/>
    <col min="14600" max="14600" width="7.625" style="2" bestFit="1" customWidth="1"/>
    <col min="14601" max="14605" width="5.625" style="2"/>
    <col min="14606" max="14606" width="6.625" style="2" customWidth="1"/>
    <col min="14607" max="14855" width="5.625" style="2"/>
    <col min="14856" max="14856" width="7.625" style="2" bestFit="1" customWidth="1"/>
    <col min="14857" max="14861" width="5.625" style="2"/>
    <col min="14862" max="14862" width="6.625" style="2" customWidth="1"/>
    <col min="14863" max="15111" width="5.625" style="2"/>
    <col min="15112" max="15112" width="7.625" style="2" bestFit="1" customWidth="1"/>
    <col min="15113" max="15117" width="5.625" style="2"/>
    <col min="15118" max="15118" width="6.625" style="2" customWidth="1"/>
    <col min="15119" max="15367" width="5.625" style="2"/>
    <col min="15368" max="15368" width="7.625" style="2" bestFit="1" customWidth="1"/>
    <col min="15369" max="15373" width="5.625" style="2"/>
    <col min="15374" max="15374" width="6.625" style="2" customWidth="1"/>
    <col min="15375" max="15623" width="5.625" style="2"/>
    <col min="15624" max="15624" width="7.625" style="2" bestFit="1" customWidth="1"/>
    <col min="15625" max="15629" width="5.625" style="2"/>
    <col min="15630" max="15630" width="6.625" style="2" customWidth="1"/>
    <col min="15631" max="15879" width="5.625" style="2"/>
    <col min="15880" max="15880" width="7.625" style="2" bestFit="1" customWidth="1"/>
    <col min="15881" max="15885" width="5.625" style="2"/>
    <col min="15886" max="15886" width="6.625" style="2" customWidth="1"/>
    <col min="15887" max="16135" width="5.625" style="2"/>
    <col min="16136" max="16136" width="7.625" style="2" bestFit="1" customWidth="1"/>
    <col min="16137" max="16141" width="5.625" style="2"/>
    <col min="16142" max="16142" width="6.625" style="2" customWidth="1"/>
    <col min="16143" max="16384" width="5.625" style="2"/>
  </cols>
  <sheetData>
    <row r="1" spans="1:26" ht="14.25" customHeight="1">
      <c r="A1" s="1" t="s">
        <v>0</v>
      </c>
    </row>
    <row r="2" spans="1:26" ht="14.25" customHeight="1">
      <c r="A2" s="1"/>
    </row>
    <row r="3" spans="1:26" ht="14.25" customHeight="1">
      <c r="A3" s="1" t="s">
        <v>1408</v>
      </c>
    </row>
    <row r="4" spans="1:26" ht="14.25" customHeight="1"/>
    <row r="5" spans="1:26" ht="14.25" customHeight="1">
      <c r="A5" s="3" t="s">
        <v>1</v>
      </c>
      <c r="E5" s="4" t="s">
        <v>2</v>
      </c>
      <c r="F5" s="4"/>
      <c r="G5" s="4"/>
      <c r="H5" s="4"/>
      <c r="I5" s="4"/>
      <c r="J5" s="4"/>
    </row>
    <row r="6" spans="1:26" ht="14.25" customHeight="1">
      <c r="I6" s="5"/>
      <c r="J6" s="5"/>
    </row>
    <row r="7" spans="1:26" ht="14.25" customHeight="1">
      <c r="B7" s="6" t="s">
        <v>3</v>
      </c>
      <c r="C7" s="6"/>
      <c r="D7" s="7">
        <v>3</v>
      </c>
      <c r="F7" s="6" t="s">
        <v>4</v>
      </c>
      <c r="G7" s="6"/>
      <c r="H7" s="8">
        <v>43.2</v>
      </c>
      <c r="I7" s="9" t="s">
        <v>5</v>
      </c>
      <c r="J7" s="8">
        <v>60</v>
      </c>
      <c r="K7" s="9" t="s">
        <v>5</v>
      </c>
      <c r="L7" s="8">
        <v>48.2</v>
      </c>
      <c r="M7" s="9" t="s">
        <v>6</v>
      </c>
      <c r="N7" s="10">
        <f>H7+J7+L7</f>
        <v>151.4</v>
      </c>
      <c r="O7" s="11" t="s">
        <v>7</v>
      </c>
      <c r="P7" s="12"/>
      <c r="Q7" s="12"/>
      <c r="R7" s="12"/>
      <c r="S7" s="9"/>
      <c r="T7" s="12"/>
      <c r="U7" s="9"/>
      <c r="V7" s="12"/>
      <c r="W7" s="11"/>
      <c r="X7" s="13"/>
      <c r="Z7" s="13"/>
    </row>
    <row r="8" spans="1:26" ht="14.25" customHeight="1">
      <c r="B8" s="6" t="s">
        <v>8</v>
      </c>
      <c r="C8" s="6"/>
      <c r="D8" s="10">
        <f>MAX(H7,J7,L7)</f>
        <v>60</v>
      </c>
      <c r="E8" s="2" t="s">
        <v>9</v>
      </c>
      <c r="F8" s="9"/>
      <c r="G8" s="9"/>
      <c r="H8" s="12"/>
      <c r="I8" s="9"/>
      <c r="J8" s="12"/>
      <c r="K8" s="9"/>
      <c r="L8" s="12"/>
      <c r="M8" s="9"/>
      <c r="N8" s="12"/>
      <c r="O8" s="9"/>
      <c r="P8" s="12"/>
      <c r="Q8" s="9"/>
      <c r="R8" s="12"/>
      <c r="S8" s="9"/>
      <c r="T8" s="12"/>
      <c r="U8" s="9"/>
      <c r="V8" s="12"/>
      <c r="W8" s="11"/>
      <c r="X8" s="13"/>
      <c r="Z8" s="13"/>
    </row>
    <row r="9" spans="1:26" ht="14.25" customHeight="1"/>
    <row r="10" spans="1:26" ht="14.25" customHeight="1">
      <c r="B10" s="6" t="s">
        <v>10</v>
      </c>
      <c r="C10" s="6"/>
      <c r="D10" s="8">
        <v>15</v>
      </c>
      <c r="E10" s="11" t="s">
        <v>11</v>
      </c>
      <c r="F10" s="6" t="s">
        <v>12</v>
      </c>
      <c r="G10" s="6"/>
      <c r="H10" s="8">
        <v>13.8</v>
      </c>
      <c r="I10" s="11" t="s">
        <v>11</v>
      </c>
      <c r="J10" s="14" t="s">
        <v>13</v>
      </c>
      <c r="K10" s="14"/>
      <c r="L10" s="8">
        <v>10</v>
      </c>
      <c r="M10" s="11" t="s">
        <v>11</v>
      </c>
      <c r="N10" s="15"/>
      <c r="O10" s="15"/>
      <c r="P10" s="9"/>
      <c r="R10" s="12"/>
      <c r="S10" s="11"/>
    </row>
    <row r="11" spans="1:26" ht="14.25" customHeight="1"/>
    <row r="12" spans="1:26" ht="14.25" customHeight="1">
      <c r="B12" s="6" t="s">
        <v>14</v>
      </c>
      <c r="C12" s="6"/>
      <c r="D12" s="7">
        <v>2</v>
      </c>
      <c r="E12" s="11" t="s">
        <v>15</v>
      </c>
      <c r="F12" s="6" t="s">
        <v>16</v>
      </c>
      <c r="G12" s="6"/>
      <c r="H12" s="16">
        <v>3</v>
      </c>
      <c r="I12" s="11" t="s">
        <v>11</v>
      </c>
      <c r="J12" s="14" t="s">
        <v>17</v>
      </c>
      <c r="K12" s="14"/>
      <c r="L12" s="16">
        <v>0.75</v>
      </c>
      <c r="M12" s="11" t="s">
        <v>11</v>
      </c>
      <c r="P12" s="4"/>
      <c r="Q12" s="4"/>
      <c r="R12" s="17"/>
      <c r="S12" s="5"/>
    </row>
    <row r="13" spans="1:26" ht="14.25" customHeight="1"/>
    <row r="14" spans="1:26" ht="14.25" customHeight="1">
      <c r="B14" s="6" t="s">
        <v>18</v>
      </c>
      <c r="C14" s="6"/>
      <c r="D14" s="7">
        <v>0</v>
      </c>
      <c r="E14" s="2" t="s">
        <v>19</v>
      </c>
      <c r="F14" s="6" t="s">
        <v>20</v>
      </c>
      <c r="G14" s="6"/>
      <c r="H14" s="18">
        <f>ROUNDUP(D12/L14,0)</f>
        <v>2</v>
      </c>
      <c r="I14" s="11" t="s">
        <v>21</v>
      </c>
      <c r="J14" s="6" t="s">
        <v>22</v>
      </c>
      <c r="K14" s="6"/>
      <c r="L14" s="19">
        <v>1</v>
      </c>
      <c r="M14" s="2" t="s">
        <v>23</v>
      </c>
    </row>
    <row r="15" spans="1:26" ht="14.25" customHeight="1"/>
    <row r="16" spans="1:26" ht="14.25" customHeight="1">
      <c r="B16" s="6" t="s">
        <v>24</v>
      </c>
      <c r="C16" s="6"/>
      <c r="D16" s="18">
        <f>(D7+1)*D12</f>
        <v>8</v>
      </c>
      <c r="E16" s="11" t="s">
        <v>25</v>
      </c>
      <c r="F16" s="6" t="s">
        <v>26</v>
      </c>
      <c r="G16" s="6"/>
      <c r="H16" s="18">
        <f>E18-1</f>
        <v>13</v>
      </c>
      <c r="I16" s="20" t="s">
        <v>27</v>
      </c>
      <c r="J16" s="9" t="s">
        <v>28</v>
      </c>
      <c r="K16" s="18">
        <f>ROUND(D12*H16,0)</f>
        <v>26</v>
      </c>
      <c r="L16" s="11" t="s">
        <v>29</v>
      </c>
    </row>
    <row r="17" spans="1:19" ht="14.25" customHeight="1"/>
    <row r="18" spans="1:19" ht="14.25" customHeight="1">
      <c r="B18" s="6" t="s">
        <v>30</v>
      </c>
      <c r="C18" s="6"/>
      <c r="D18" s="6"/>
      <c r="E18" s="7">
        <v>14</v>
      </c>
      <c r="F18" s="11" t="s">
        <v>31</v>
      </c>
      <c r="G18" s="9" t="s">
        <v>32</v>
      </c>
      <c r="H18" s="18">
        <f>D12</f>
        <v>2</v>
      </c>
      <c r="I18" s="11" t="s">
        <v>33</v>
      </c>
      <c r="J18" s="9" t="s">
        <v>34</v>
      </c>
      <c r="K18" s="18">
        <f>ROUND(E18*H18,0)</f>
        <v>28</v>
      </c>
      <c r="L18" s="11" t="s">
        <v>31</v>
      </c>
    </row>
    <row r="19" spans="1:19" ht="14.25" customHeight="1">
      <c r="B19" s="6" t="s">
        <v>35</v>
      </c>
      <c r="C19" s="6"/>
      <c r="D19" s="6"/>
      <c r="E19" s="7">
        <v>14</v>
      </c>
      <c r="F19" s="11" t="s">
        <v>31</v>
      </c>
      <c r="G19" s="9" t="s">
        <v>32</v>
      </c>
      <c r="H19" s="18">
        <f>H14</f>
        <v>2</v>
      </c>
      <c r="I19" s="11" t="s">
        <v>33</v>
      </c>
      <c r="J19" s="9" t="s">
        <v>36</v>
      </c>
      <c r="K19" s="18">
        <f>ROUND(E19*H19,0)</f>
        <v>28</v>
      </c>
      <c r="L19" s="11" t="s">
        <v>31</v>
      </c>
    </row>
    <row r="20" spans="1:19" ht="14.25" hidden="1" customHeight="1"/>
    <row r="21" spans="1:19" ht="14.25" hidden="1" customHeight="1">
      <c r="B21" s="14" t="s">
        <v>37</v>
      </c>
      <c r="C21" s="14"/>
      <c r="D21" s="14"/>
      <c r="E21" s="21">
        <v>0</v>
      </c>
      <c r="F21" s="5" t="s">
        <v>11</v>
      </c>
    </row>
    <row r="22" spans="1:19" ht="14.25" customHeight="1"/>
    <row r="23" spans="1:19" ht="14.25" customHeight="1"/>
    <row r="24" spans="1:19" ht="14.25" customHeight="1">
      <c r="A24" s="22" t="s">
        <v>38</v>
      </c>
    </row>
    <row r="25" spans="1:19" ht="14.25" customHeight="1"/>
    <row r="26" spans="1:19" ht="14.25" customHeight="1">
      <c r="B26" s="23"/>
      <c r="C26" s="24"/>
      <c r="D26" s="24"/>
      <c r="E26" s="25"/>
      <c r="F26" s="26" t="s">
        <v>39</v>
      </c>
      <c r="G26" s="27" t="s">
        <v>40</v>
      </c>
      <c r="H26" s="28"/>
      <c r="I26" s="28"/>
      <c r="J26" s="28"/>
      <c r="K26" s="28"/>
      <c r="L26" s="29"/>
      <c r="O26" s="30"/>
      <c r="P26" s="30"/>
      <c r="Q26" s="30"/>
      <c r="R26" s="30"/>
      <c r="S26" s="30"/>
    </row>
    <row r="27" spans="1:19" ht="14.25" customHeight="1">
      <c r="B27" s="31" t="s">
        <v>41</v>
      </c>
      <c r="C27" s="32"/>
      <c r="D27" s="32"/>
      <c r="E27" s="25"/>
      <c r="F27" s="33"/>
      <c r="G27" s="34">
        <v>219</v>
      </c>
      <c r="H27" s="35"/>
      <c r="I27" s="26" t="s">
        <v>42</v>
      </c>
      <c r="J27" s="36"/>
      <c r="K27" s="37"/>
      <c r="L27" s="33"/>
      <c r="O27" s="38"/>
      <c r="P27" s="38"/>
      <c r="Q27" s="38"/>
      <c r="R27" s="38"/>
      <c r="S27" s="38"/>
    </row>
    <row r="28" spans="1:19" ht="14.25" customHeight="1">
      <c r="B28" s="39" t="s">
        <v>43</v>
      </c>
      <c r="C28" s="31" t="s">
        <v>44</v>
      </c>
      <c r="D28" s="32"/>
      <c r="E28" s="40"/>
      <c r="F28" s="41">
        <v>90</v>
      </c>
      <c r="G28" s="42">
        <f>ROUND((G27/1000)*H10*N7*(F28/100),1)</f>
        <v>411.8</v>
      </c>
      <c r="H28" s="43"/>
      <c r="I28" s="39" t="s">
        <v>45</v>
      </c>
      <c r="J28" s="44">
        <f>K18</f>
        <v>28</v>
      </c>
      <c r="K28" s="45"/>
      <c r="L28" s="39" t="s">
        <v>31</v>
      </c>
      <c r="O28" s="46"/>
      <c r="P28" s="46"/>
      <c r="Q28" s="46"/>
      <c r="R28" s="47"/>
      <c r="S28" s="30"/>
    </row>
    <row r="29" spans="1:19" ht="14.25" customHeight="1">
      <c r="B29" s="39" t="s">
        <v>46</v>
      </c>
      <c r="C29" s="31" t="s">
        <v>47</v>
      </c>
      <c r="D29" s="32"/>
      <c r="E29" s="40"/>
      <c r="F29" s="41">
        <v>7</v>
      </c>
      <c r="G29" s="42">
        <f>ROUND((G27/1000)*H10*N7*(F29/100),1)</f>
        <v>32</v>
      </c>
      <c r="H29" s="43"/>
      <c r="I29" s="39" t="s">
        <v>45</v>
      </c>
      <c r="J29" s="36"/>
      <c r="K29" s="37"/>
      <c r="L29" s="39"/>
      <c r="O29" s="46"/>
      <c r="P29" s="46"/>
      <c r="Q29" s="46"/>
      <c r="R29" s="47"/>
      <c r="S29" s="30"/>
    </row>
    <row r="30" spans="1:19" ht="14.25" customHeight="1">
      <c r="B30" s="39" t="s">
        <v>48</v>
      </c>
      <c r="C30" s="31" t="s">
        <v>49</v>
      </c>
      <c r="D30" s="32"/>
      <c r="E30" s="40"/>
      <c r="F30" s="41">
        <v>3</v>
      </c>
      <c r="G30" s="42">
        <f>ROUND((G27/1000)*H10*N7*(F30/100),1)</f>
        <v>13.7</v>
      </c>
      <c r="H30" s="43"/>
      <c r="I30" s="39" t="s">
        <v>45</v>
      </c>
      <c r="J30" s="36"/>
      <c r="K30" s="37"/>
      <c r="L30" s="39"/>
      <c r="O30" s="46"/>
      <c r="P30" s="46"/>
      <c r="Q30" s="46"/>
      <c r="R30" s="47"/>
      <c r="S30" s="30"/>
    </row>
    <row r="31" spans="1:19" ht="14.25" hidden="1" customHeight="1">
      <c r="B31" s="39" t="s">
        <v>50</v>
      </c>
      <c r="C31" s="31" t="s">
        <v>49</v>
      </c>
      <c r="D31" s="32"/>
      <c r="E31" s="40"/>
      <c r="F31" s="41"/>
      <c r="G31" s="42">
        <f>ROUND((G27/1000)*H10*N7*(F31/100),1)</f>
        <v>0</v>
      </c>
      <c r="H31" s="43"/>
      <c r="I31" s="39" t="s">
        <v>45</v>
      </c>
      <c r="J31" s="36"/>
      <c r="K31" s="37"/>
      <c r="L31" s="39"/>
      <c r="O31" s="38"/>
      <c r="P31" s="38"/>
      <c r="Q31" s="38"/>
      <c r="R31" s="38"/>
      <c r="S31" s="38"/>
    </row>
    <row r="32" spans="1:19" ht="14.25" customHeight="1">
      <c r="B32" s="39"/>
      <c r="C32" s="31" t="s">
        <v>51</v>
      </c>
      <c r="D32" s="32"/>
      <c r="E32" s="40"/>
      <c r="F32" s="33"/>
      <c r="G32" s="36"/>
      <c r="H32" s="37"/>
      <c r="I32" s="33"/>
      <c r="J32" s="44">
        <f>D16</f>
        <v>8</v>
      </c>
      <c r="K32" s="45"/>
      <c r="L32" s="39" t="s">
        <v>25</v>
      </c>
      <c r="O32" s="38"/>
      <c r="P32" s="38"/>
      <c r="Q32" s="38"/>
      <c r="R32" s="38"/>
      <c r="S32" s="38"/>
    </row>
    <row r="33" spans="1:19" ht="14.25" customHeight="1">
      <c r="B33" s="39"/>
      <c r="C33" s="31" t="s">
        <v>52</v>
      </c>
      <c r="D33" s="32"/>
      <c r="E33" s="40"/>
      <c r="F33" s="33"/>
      <c r="G33" s="36"/>
      <c r="H33" s="37"/>
      <c r="I33" s="33"/>
      <c r="J33" s="44">
        <f>D12*2</f>
        <v>4</v>
      </c>
      <c r="K33" s="45"/>
      <c r="L33" s="39" t="s">
        <v>53</v>
      </c>
      <c r="O33" s="38"/>
      <c r="P33" s="38"/>
      <c r="Q33" s="38"/>
      <c r="R33" s="38"/>
      <c r="S33" s="38"/>
    </row>
    <row r="34" spans="1:19" ht="14.25" customHeight="1">
      <c r="B34" s="48" t="s">
        <v>54</v>
      </c>
      <c r="C34" s="48"/>
      <c r="D34" s="48"/>
      <c r="E34" s="48"/>
      <c r="F34" s="48"/>
      <c r="G34" s="42">
        <f>G28+G29+G30+G31</f>
        <v>457.5</v>
      </c>
      <c r="H34" s="43"/>
      <c r="I34" s="39" t="s">
        <v>45</v>
      </c>
      <c r="J34" s="38"/>
      <c r="K34" s="38"/>
      <c r="L34" s="38"/>
      <c r="O34" s="38"/>
      <c r="P34" s="38"/>
      <c r="Q34" s="38"/>
      <c r="R34" s="38"/>
      <c r="S34" s="38"/>
    </row>
    <row r="35" spans="1:19" ht="14.25" customHeight="1"/>
    <row r="36" spans="1:19" ht="14.25" customHeight="1"/>
    <row r="37" spans="1:19" ht="14.25" customHeight="1">
      <c r="A37" s="22" t="s">
        <v>55</v>
      </c>
    </row>
    <row r="38" spans="1:19" ht="14.25" customHeight="1"/>
    <row r="39" spans="1:19" ht="14.25" customHeight="1" thickBot="1">
      <c r="B39" s="9" t="s">
        <v>56</v>
      </c>
      <c r="C39" s="10">
        <f>G30</f>
        <v>13.7</v>
      </c>
      <c r="D39" s="9" t="s">
        <v>57</v>
      </c>
      <c r="E39" s="49">
        <v>0.64500000000000002</v>
      </c>
      <c r="F39" s="9" t="s">
        <v>58</v>
      </c>
      <c r="G39" s="9" t="s">
        <v>59</v>
      </c>
      <c r="H39" s="9" t="s">
        <v>60</v>
      </c>
      <c r="I39" s="50">
        <f>ROUND(C39/(E39/1000),-1)</f>
        <v>21240</v>
      </c>
      <c r="J39" s="51" t="s">
        <v>15</v>
      </c>
      <c r="K39" s="2" t="s">
        <v>61</v>
      </c>
    </row>
    <row r="40" spans="1:19" ht="14.25" customHeight="1"/>
    <row r="41" spans="1:19" ht="14.25" customHeight="1"/>
    <row r="42" spans="1:19" ht="14.25" customHeight="1">
      <c r="A42" s="22" t="s">
        <v>62</v>
      </c>
    </row>
    <row r="43" spans="1:19" ht="14.25" customHeight="1"/>
    <row r="44" spans="1:19" ht="14.25" customHeight="1">
      <c r="B44" s="11" t="s">
        <v>63</v>
      </c>
      <c r="C44" s="11"/>
      <c r="D44" s="11"/>
      <c r="E44" s="11"/>
      <c r="F44" s="11"/>
      <c r="G44" s="11"/>
      <c r="H44" s="11"/>
      <c r="I44" s="11"/>
    </row>
    <row r="45" spans="1:19" ht="14.25" customHeight="1"/>
    <row r="46" spans="1:19" ht="14.25" customHeight="1"/>
    <row r="47" spans="1:19" ht="14.25" customHeight="1">
      <c r="A47" s="22" t="s">
        <v>64</v>
      </c>
    </row>
    <row r="48" spans="1:19" ht="14.25" customHeight="1"/>
    <row r="49" spans="1:19" ht="14.25" customHeight="1">
      <c r="B49" s="11" t="s">
        <v>65</v>
      </c>
      <c r="C49" s="11"/>
      <c r="D49" s="11"/>
      <c r="E49" s="11"/>
    </row>
    <row r="50" spans="1:19" ht="14.25" customHeight="1">
      <c r="B50" s="30"/>
      <c r="C50" s="30"/>
      <c r="D50" s="30"/>
      <c r="E50" s="30"/>
    </row>
    <row r="51" spans="1:19" ht="14.25" customHeight="1">
      <c r="B51" s="30"/>
      <c r="C51" s="30"/>
      <c r="D51" s="30"/>
      <c r="E51" s="30"/>
    </row>
    <row r="52" spans="1:19" ht="14.25" hidden="1" customHeight="1">
      <c r="A52" s="22" t="s">
        <v>66</v>
      </c>
    </row>
    <row r="53" spans="1:19" ht="14.25" hidden="1" customHeight="1"/>
    <row r="54" spans="1:19" ht="14.25" hidden="1" customHeight="1">
      <c r="B54" s="11" t="s">
        <v>67</v>
      </c>
      <c r="C54" s="11"/>
      <c r="D54" s="11"/>
      <c r="E54" s="11"/>
    </row>
    <row r="55" spans="1:19" ht="14.25" hidden="1" customHeight="1">
      <c r="B55" s="11"/>
      <c r="C55" s="9" t="s">
        <v>68</v>
      </c>
      <c r="D55" s="11"/>
      <c r="E55" s="9" t="s">
        <v>69</v>
      </c>
      <c r="G55" s="9" t="s">
        <v>70</v>
      </c>
      <c r="I55" s="9" t="s">
        <v>71</v>
      </c>
      <c r="K55" s="9" t="s">
        <v>68</v>
      </c>
      <c r="M55" s="9" t="s">
        <v>72</v>
      </c>
      <c r="O55" s="9" t="s">
        <v>73</v>
      </c>
      <c r="Q55" s="9" t="s">
        <v>71</v>
      </c>
    </row>
    <row r="56" spans="1:19" ht="14.25" hidden="1" customHeight="1">
      <c r="B56" s="9" t="s">
        <v>74</v>
      </c>
      <c r="C56" s="52">
        <v>0.5</v>
      </c>
      <c r="D56" s="9" t="s">
        <v>32</v>
      </c>
      <c r="E56" s="53">
        <f>H12</f>
        <v>3</v>
      </c>
      <c r="F56" s="9" t="s">
        <v>32</v>
      </c>
      <c r="G56" s="54">
        <v>0</v>
      </c>
      <c r="H56" s="9" t="s">
        <v>75</v>
      </c>
      <c r="I56" s="18">
        <f>K16</f>
        <v>26</v>
      </c>
      <c r="J56" s="9" t="s">
        <v>76</v>
      </c>
      <c r="K56" s="52">
        <v>0.65</v>
      </c>
      <c r="L56" s="9" t="s">
        <v>32</v>
      </c>
      <c r="M56" s="53">
        <f>L12</f>
        <v>0.75</v>
      </c>
      <c r="N56" s="9" t="s">
        <v>32</v>
      </c>
      <c r="O56" s="54">
        <v>0</v>
      </c>
      <c r="P56" s="9" t="s">
        <v>75</v>
      </c>
      <c r="Q56" s="18">
        <f>K16</f>
        <v>26</v>
      </c>
    </row>
    <row r="57" spans="1:19" ht="14.25" hidden="1" customHeight="1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:19" ht="14.25" hidden="1" customHeight="1">
      <c r="B58" s="9" t="s">
        <v>77</v>
      </c>
      <c r="C58" s="10">
        <f>C56*E56*G56*I56</f>
        <v>0</v>
      </c>
      <c r="D58" s="9" t="s">
        <v>78</v>
      </c>
      <c r="E58" s="10">
        <f>K56*M56*O56*Q56</f>
        <v>0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1:19" ht="14.25" hidden="1" customHeight="1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</row>
    <row r="60" spans="1:19" ht="14.25" hidden="1" customHeight="1">
      <c r="B60" s="9" t="s">
        <v>34</v>
      </c>
      <c r="C60" s="55">
        <f>ROUND(C58+E58,1)</f>
        <v>0</v>
      </c>
      <c r="D60" s="56" t="s">
        <v>79</v>
      </c>
      <c r="E60" s="9" t="s">
        <v>80</v>
      </c>
      <c r="F60" s="10">
        <f>C60</f>
        <v>0</v>
      </c>
      <c r="G60" s="9" t="s">
        <v>81</v>
      </c>
      <c r="H60" s="57">
        <v>1.2</v>
      </c>
      <c r="I60" s="9" t="s">
        <v>77</v>
      </c>
      <c r="J60" s="58">
        <f>F60*H60</f>
        <v>0</v>
      </c>
      <c r="K60" s="51" t="s">
        <v>79</v>
      </c>
      <c r="L60" s="2" t="s">
        <v>82</v>
      </c>
    </row>
    <row r="61" spans="1:19" ht="14.25" hidden="1" customHeight="1"/>
    <row r="62" spans="1:19" ht="14.25" hidden="1" customHeight="1">
      <c r="B62" s="2" t="s">
        <v>83</v>
      </c>
    </row>
    <row r="63" spans="1:19" ht="14.25" hidden="1" customHeight="1">
      <c r="B63" s="2" t="s">
        <v>84</v>
      </c>
    </row>
    <row r="64" spans="1:19" ht="14.25" hidden="1" customHeight="1">
      <c r="C64" s="2" t="s">
        <v>85</v>
      </c>
    </row>
    <row r="65" spans="1:16" ht="14.25" hidden="1" customHeight="1">
      <c r="B65" s="2" t="s">
        <v>86</v>
      </c>
    </row>
    <row r="66" spans="1:16" ht="14.25" hidden="1" customHeight="1">
      <c r="C66" s="2" t="s">
        <v>87</v>
      </c>
    </row>
    <row r="67" spans="1:16" ht="14.25" hidden="1" customHeight="1"/>
    <row r="68" spans="1:16" ht="14.25" hidden="1" customHeight="1"/>
    <row r="69" spans="1:16" ht="14.25" customHeight="1">
      <c r="A69" s="22" t="s">
        <v>88</v>
      </c>
    </row>
    <row r="70" spans="1:16" ht="14.25" customHeight="1"/>
    <row r="71" spans="1:16" ht="14.25" customHeight="1">
      <c r="B71" s="59" t="s">
        <v>89</v>
      </c>
      <c r="C71" s="59"/>
      <c r="D71" s="59"/>
      <c r="E71" s="59"/>
      <c r="F71" s="59"/>
      <c r="G71" s="60" t="s">
        <v>90</v>
      </c>
      <c r="H71" s="59"/>
      <c r="I71" s="59"/>
      <c r="J71" s="59"/>
      <c r="K71" s="61" t="s">
        <v>91</v>
      </c>
      <c r="L71" s="62" t="s">
        <v>92</v>
      </c>
      <c r="M71" s="62"/>
      <c r="N71" s="62"/>
      <c r="O71" s="63"/>
      <c r="P71" s="64" t="s">
        <v>93</v>
      </c>
    </row>
    <row r="72" spans="1:16" ht="14.25" customHeight="1">
      <c r="B72" s="65" t="s">
        <v>94</v>
      </c>
      <c r="C72" s="66"/>
      <c r="D72" s="66"/>
      <c r="E72" s="66"/>
      <c r="F72" s="67"/>
      <c r="G72" s="68">
        <f>SUM(I73:J77)</f>
        <v>19</v>
      </c>
      <c r="H72" s="69"/>
      <c r="I72" s="70"/>
      <c r="J72" s="71"/>
      <c r="K72" s="72"/>
      <c r="L72" s="69">
        <f>SUM(N73:O77)</f>
        <v>19</v>
      </c>
      <c r="M72" s="69"/>
      <c r="N72" s="70"/>
      <c r="O72" s="71"/>
      <c r="P72" s="73" t="s">
        <v>95</v>
      </c>
    </row>
    <row r="73" spans="1:16" ht="14.25" customHeight="1">
      <c r="B73" s="74"/>
      <c r="C73" s="75" t="s">
        <v>96</v>
      </c>
      <c r="D73" s="75"/>
      <c r="E73" s="75"/>
      <c r="F73" s="75"/>
      <c r="G73" s="76"/>
      <c r="H73" s="77"/>
      <c r="I73" s="78">
        <f>IF(ISERROR('[1]日数 (1)'!D33),0,'[1]日数 (1)'!D33)</f>
        <v>8.8000000000000007</v>
      </c>
      <c r="J73" s="78"/>
      <c r="K73" s="79">
        <v>1</v>
      </c>
      <c r="L73" s="76"/>
      <c r="M73" s="77"/>
      <c r="N73" s="78">
        <f>ROUND(I73/K73,1)</f>
        <v>8.8000000000000007</v>
      </c>
      <c r="O73" s="78"/>
      <c r="P73" s="80" t="s">
        <v>97</v>
      </c>
    </row>
    <row r="74" spans="1:16" ht="14.25" hidden="1" customHeight="1">
      <c r="B74" s="74"/>
      <c r="C74" s="75" t="s">
        <v>98</v>
      </c>
      <c r="D74" s="75"/>
      <c r="E74" s="75"/>
      <c r="F74" s="75"/>
      <c r="G74" s="76"/>
      <c r="H74" s="77"/>
      <c r="I74" s="78"/>
      <c r="J74" s="78"/>
      <c r="K74" s="79">
        <v>1</v>
      </c>
      <c r="L74" s="76"/>
      <c r="M74" s="77"/>
      <c r="N74" s="78">
        <f>ROUND(I74/K74,1)</f>
        <v>0</v>
      </c>
      <c r="O74" s="78"/>
      <c r="P74" s="80"/>
    </row>
    <row r="75" spans="1:16" ht="14.25" hidden="1" customHeight="1">
      <c r="B75" s="74"/>
      <c r="C75" s="75" t="s">
        <v>99</v>
      </c>
      <c r="D75" s="75"/>
      <c r="E75" s="75"/>
      <c r="F75" s="75"/>
      <c r="G75" s="76"/>
      <c r="H75" s="77"/>
      <c r="I75" s="78"/>
      <c r="J75" s="78"/>
      <c r="K75" s="79">
        <v>1</v>
      </c>
      <c r="L75" s="76"/>
      <c r="M75" s="77"/>
      <c r="N75" s="78">
        <f>ROUND(I75/K75,1)</f>
        <v>0</v>
      </c>
      <c r="O75" s="78"/>
      <c r="P75" s="80"/>
    </row>
    <row r="76" spans="1:16" ht="14.25" customHeight="1">
      <c r="B76" s="74"/>
      <c r="C76" s="75" t="s">
        <v>100</v>
      </c>
      <c r="D76" s="75"/>
      <c r="E76" s="75"/>
      <c r="F76" s="75"/>
      <c r="G76" s="76"/>
      <c r="H76" s="77"/>
      <c r="I76" s="78">
        <f>IF(ISERROR('[1]日数 (1)'!D219),0,'[1]日数 (1)'!D219)</f>
        <v>6.2</v>
      </c>
      <c r="J76" s="78"/>
      <c r="K76" s="79">
        <v>1</v>
      </c>
      <c r="L76" s="76"/>
      <c r="M76" s="77"/>
      <c r="N76" s="78">
        <f>ROUND(I76/K76,1)</f>
        <v>6.2</v>
      </c>
      <c r="O76" s="78"/>
      <c r="P76" s="80" t="s">
        <v>101</v>
      </c>
    </row>
    <row r="77" spans="1:16" ht="14.25" customHeight="1">
      <c r="B77" s="81"/>
      <c r="C77" s="75" t="s">
        <v>102</v>
      </c>
      <c r="D77" s="75"/>
      <c r="E77" s="75"/>
      <c r="F77" s="75"/>
      <c r="G77" s="82"/>
      <c r="H77" s="83"/>
      <c r="I77" s="78">
        <f>IF(ISERROR('[1]日数 (1)'!D239),0,'[1]日数 (1)'!D239)</f>
        <v>4</v>
      </c>
      <c r="J77" s="78"/>
      <c r="K77" s="79">
        <v>1</v>
      </c>
      <c r="L77" s="82"/>
      <c r="M77" s="83"/>
      <c r="N77" s="78">
        <f>ROUND(I77/K77,1)</f>
        <v>4</v>
      </c>
      <c r="O77" s="78"/>
      <c r="P77" s="80" t="s">
        <v>103</v>
      </c>
    </row>
    <row r="78" spans="1:16" ht="14.25" customHeight="1">
      <c r="B78" s="65" t="s">
        <v>104</v>
      </c>
      <c r="C78" s="66"/>
      <c r="D78" s="66"/>
      <c r="E78" s="66"/>
      <c r="F78" s="67"/>
      <c r="G78" s="68">
        <f>SUM(I79:J81)</f>
        <v>16.2</v>
      </c>
      <c r="H78" s="69"/>
      <c r="I78" s="84"/>
      <c r="J78" s="85"/>
      <c r="K78" s="72"/>
      <c r="L78" s="69">
        <f>SUM(N79:O81)</f>
        <v>16.2</v>
      </c>
      <c r="M78" s="69"/>
      <c r="N78" s="84"/>
      <c r="O78" s="85"/>
      <c r="P78" s="73" t="s">
        <v>105</v>
      </c>
    </row>
    <row r="79" spans="1:16" ht="14.25" customHeight="1">
      <c r="B79" s="74"/>
      <c r="C79" s="75" t="s">
        <v>106</v>
      </c>
      <c r="D79" s="75"/>
      <c r="E79" s="75"/>
      <c r="F79" s="75"/>
      <c r="G79" s="76"/>
      <c r="H79" s="77"/>
      <c r="I79" s="78">
        <f>IF(ISERROR('[1]日数 (1)'!D283),0,'[1]日数 (1)'!D283)</f>
        <v>9.1999999999999993</v>
      </c>
      <c r="J79" s="78"/>
      <c r="K79" s="79">
        <v>1</v>
      </c>
      <c r="L79" s="76"/>
      <c r="M79" s="77"/>
      <c r="N79" s="78">
        <f>ROUND(I79/K79,1)</f>
        <v>9.1999999999999993</v>
      </c>
      <c r="O79" s="78"/>
      <c r="P79" s="80" t="s">
        <v>107</v>
      </c>
    </row>
    <row r="80" spans="1:16" ht="14.25" customHeight="1">
      <c r="B80" s="74"/>
      <c r="C80" s="75" t="s">
        <v>108</v>
      </c>
      <c r="D80" s="75"/>
      <c r="E80" s="75"/>
      <c r="F80" s="75"/>
      <c r="G80" s="76"/>
      <c r="H80" s="77"/>
      <c r="I80" s="78">
        <f>IF(ISERROR('[1]日数 (1)'!D315),0,'[1]日数 (1)'!D315)</f>
        <v>2.6</v>
      </c>
      <c r="J80" s="78"/>
      <c r="K80" s="79">
        <v>1</v>
      </c>
      <c r="L80" s="76"/>
      <c r="M80" s="77"/>
      <c r="N80" s="78">
        <f>ROUND(I80/K80,1)</f>
        <v>2.6</v>
      </c>
      <c r="O80" s="78"/>
      <c r="P80" s="80" t="s">
        <v>109</v>
      </c>
    </row>
    <row r="81" spans="2:16" ht="14.25" customHeight="1">
      <c r="B81" s="86"/>
      <c r="C81" s="75" t="s">
        <v>110</v>
      </c>
      <c r="D81" s="75"/>
      <c r="E81" s="75"/>
      <c r="F81" s="75"/>
      <c r="G81" s="82"/>
      <c r="H81" s="83"/>
      <c r="I81" s="78">
        <f>IF(ISERROR('[1]日数 (1)'!D357),0,'[1]日数 (1)'!D357)</f>
        <v>4.4000000000000004</v>
      </c>
      <c r="J81" s="78"/>
      <c r="K81" s="79">
        <v>1</v>
      </c>
      <c r="L81" s="82"/>
      <c r="M81" s="83"/>
      <c r="N81" s="78">
        <f>ROUND(I81/K81,1)</f>
        <v>4.4000000000000004</v>
      </c>
      <c r="O81" s="78"/>
      <c r="P81" s="80" t="s">
        <v>111</v>
      </c>
    </row>
    <row r="82" spans="2:16" ht="14.25" customHeight="1">
      <c r="B82" s="65" t="s">
        <v>112</v>
      </c>
      <c r="C82" s="66"/>
      <c r="D82" s="66"/>
      <c r="E82" s="66"/>
      <c r="F82" s="67"/>
      <c r="G82" s="68">
        <f>SUM(I83:J84)</f>
        <v>6.5</v>
      </c>
      <c r="H82" s="69"/>
      <c r="I82" s="84"/>
      <c r="J82" s="85"/>
      <c r="K82" s="72"/>
      <c r="L82" s="69">
        <f>SUM(N83:O84)</f>
        <v>3.3</v>
      </c>
      <c r="M82" s="69"/>
      <c r="N82" s="84"/>
      <c r="O82" s="85"/>
      <c r="P82" s="73" t="s">
        <v>113</v>
      </c>
    </row>
    <row r="83" spans="2:16" ht="14.25" hidden="1" customHeight="1">
      <c r="B83" s="74"/>
      <c r="C83" s="75" t="s">
        <v>114</v>
      </c>
      <c r="D83" s="75"/>
      <c r="E83" s="75"/>
      <c r="F83" s="75"/>
      <c r="G83" s="76"/>
      <c r="H83" s="77"/>
      <c r="I83" s="78"/>
      <c r="J83" s="78"/>
      <c r="K83" s="79">
        <v>1</v>
      </c>
      <c r="L83" s="76"/>
      <c r="M83" s="77"/>
      <c r="N83" s="78">
        <f>ROUND(I83/K83,1)</f>
        <v>0</v>
      </c>
      <c r="O83" s="78"/>
      <c r="P83" s="80"/>
    </row>
    <row r="84" spans="2:16" ht="14.25" customHeight="1">
      <c r="B84" s="86"/>
      <c r="C84" s="75" t="s">
        <v>115</v>
      </c>
      <c r="D84" s="75"/>
      <c r="E84" s="75"/>
      <c r="F84" s="75"/>
      <c r="G84" s="82"/>
      <c r="H84" s="83"/>
      <c r="I84" s="78">
        <f>IF(ISERROR('[1]日数 (1)'!D434),0,'[1]日数 (1)'!D434)</f>
        <v>6.5</v>
      </c>
      <c r="J84" s="78"/>
      <c r="K84" s="79">
        <v>2</v>
      </c>
      <c r="L84" s="82"/>
      <c r="M84" s="83"/>
      <c r="N84" s="78">
        <f>ROUND(I84/K84,1)</f>
        <v>3.3</v>
      </c>
      <c r="O84" s="78"/>
      <c r="P84" s="80" t="s">
        <v>116</v>
      </c>
    </row>
    <row r="85" spans="2:16" ht="14.25" customHeight="1">
      <c r="B85" s="87" t="s">
        <v>117</v>
      </c>
      <c r="C85" s="87"/>
      <c r="D85" s="87"/>
      <c r="E85" s="87"/>
      <c r="F85" s="87"/>
      <c r="G85" s="88">
        <f>IF(ISERROR('[1]日数 (1)'!D496),0,'[1]日数 (1)'!D496)</f>
        <v>11.7</v>
      </c>
      <c r="H85" s="89"/>
      <c r="I85" s="84"/>
      <c r="J85" s="85"/>
      <c r="K85" s="79">
        <v>1</v>
      </c>
      <c r="L85" s="89">
        <f>ROUND(G85/K85,1)</f>
        <v>11.7</v>
      </c>
      <c r="M85" s="89"/>
      <c r="N85" s="84"/>
      <c r="O85" s="85"/>
      <c r="P85" s="73" t="s">
        <v>118</v>
      </c>
    </row>
    <row r="86" spans="2:16" ht="14.25" customHeight="1">
      <c r="B86" s="87" t="s">
        <v>119</v>
      </c>
      <c r="C86" s="87"/>
      <c r="D86" s="87"/>
      <c r="E86" s="87"/>
      <c r="F86" s="87"/>
      <c r="G86" s="68">
        <f>IF(ISERROR('[1]日数 (1)'!D547),0,'[1]日数 (1)'!D547)</f>
        <v>12</v>
      </c>
      <c r="H86" s="69"/>
      <c r="I86" s="84"/>
      <c r="J86" s="85"/>
      <c r="K86" s="79">
        <v>2</v>
      </c>
      <c r="L86" s="69">
        <f>ROUND(G86/K86,1)</f>
        <v>6</v>
      </c>
      <c r="M86" s="69"/>
      <c r="N86" s="84"/>
      <c r="O86" s="85"/>
      <c r="P86" s="73" t="s">
        <v>120</v>
      </c>
    </row>
    <row r="87" spans="2:16" ht="14.25" customHeight="1">
      <c r="B87" s="65" t="s">
        <v>121</v>
      </c>
      <c r="C87" s="66"/>
      <c r="D87" s="66"/>
      <c r="E87" s="66"/>
      <c r="F87" s="67"/>
      <c r="G87" s="68">
        <f>SUM(I88:J92)</f>
        <v>17.7</v>
      </c>
      <c r="H87" s="69"/>
      <c r="I87" s="84"/>
      <c r="J87" s="85"/>
      <c r="K87" s="72"/>
      <c r="L87" s="69">
        <f>SUM(N88:O92)</f>
        <v>17.7</v>
      </c>
      <c r="M87" s="69"/>
      <c r="N87" s="84"/>
      <c r="O87" s="85"/>
      <c r="P87" s="73" t="s">
        <v>122</v>
      </c>
    </row>
    <row r="88" spans="2:16" ht="14.25" customHeight="1">
      <c r="B88" s="74"/>
      <c r="C88" s="75" t="s">
        <v>123</v>
      </c>
      <c r="D88" s="75"/>
      <c r="E88" s="75"/>
      <c r="F88" s="75"/>
      <c r="G88" s="76"/>
      <c r="H88" s="77"/>
      <c r="I88" s="78">
        <f>IF(ISERROR('[1]日数 (1)'!D572),0,'[1]日数 (1)'!D572)</f>
        <v>12.5</v>
      </c>
      <c r="J88" s="78"/>
      <c r="K88" s="79">
        <v>1</v>
      </c>
      <c r="L88" s="76"/>
      <c r="M88" s="77"/>
      <c r="N88" s="78">
        <f>ROUND(I88/K88,1)</f>
        <v>12.5</v>
      </c>
      <c r="O88" s="78"/>
      <c r="P88" s="80" t="s">
        <v>124</v>
      </c>
    </row>
    <row r="89" spans="2:16" ht="14.25" customHeight="1">
      <c r="B89" s="74"/>
      <c r="C89" s="75" t="s">
        <v>125</v>
      </c>
      <c r="D89" s="75"/>
      <c r="E89" s="75"/>
      <c r="F89" s="75"/>
      <c r="G89" s="76"/>
      <c r="H89" s="77"/>
      <c r="I89" s="78">
        <f>IF(ISERROR('[1]日数 (1)'!D589),0,'[1]日数 (1)'!D589)</f>
        <v>3.9</v>
      </c>
      <c r="J89" s="78"/>
      <c r="K89" s="79">
        <v>1</v>
      </c>
      <c r="L89" s="76"/>
      <c r="M89" s="77"/>
      <c r="N89" s="78">
        <f>ROUND(I89/K89,1)</f>
        <v>3.9</v>
      </c>
      <c r="O89" s="78"/>
      <c r="P89" s="80" t="s">
        <v>126</v>
      </c>
    </row>
    <row r="90" spans="2:16" ht="14.25" customHeight="1">
      <c r="B90" s="74"/>
      <c r="C90" s="75" t="s">
        <v>127</v>
      </c>
      <c r="D90" s="75"/>
      <c r="E90" s="75"/>
      <c r="F90" s="75"/>
      <c r="G90" s="76"/>
      <c r="H90" s="77"/>
      <c r="I90" s="78">
        <f>IF(ISERROR('[1]日数 (1)'!D606),0,'[1]日数 (1)'!D606)</f>
        <v>1.3</v>
      </c>
      <c r="J90" s="78"/>
      <c r="K90" s="79">
        <v>1</v>
      </c>
      <c r="L90" s="76"/>
      <c r="M90" s="77"/>
      <c r="N90" s="78">
        <f>ROUND(I90/K90,1)</f>
        <v>1.3</v>
      </c>
      <c r="O90" s="78"/>
      <c r="P90" s="80" t="s">
        <v>128</v>
      </c>
    </row>
    <row r="91" spans="2:16" ht="14.25" hidden="1" customHeight="1">
      <c r="B91" s="74"/>
      <c r="C91" s="75" t="s">
        <v>129</v>
      </c>
      <c r="D91" s="75"/>
      <c r="E91" s="75"/>
      <c r="F91" s="75"/>
      <c r="G91" s="76"/>
      <c r="H91" s="77"/>
      <c r="I91" s="78"/>
      <c r="J91" s="78"/>
      <c r="K91" s="79">
        <v>1</v>
      </c>
      <c r="L91" s="76"/>
      <c r="M91" s="77"/>
      <c r="N91" s="78">
        <f>ROUND(I91/K91,1)</f>
        <v>0</v>
      </c>
      <c r="O91" s="78"/>
      <c r="P91" s="80"/>
    </row>
    <row r="92" spans="2:16" ht="14.25" hidden="1" customHeight="1">
      <c r="B92" s="86"/>
      <c r="C92" s="75" t="s">
        <v>130</v>
      </c>
      <c r="D92" s="75"/>
      <c r="E92" s="75"/>
      <c r="F92" s="75"/>
      <c r="G92" s="82"/>
      <c r="H92" s="83"/>
      <c r="I92" s="78"/>
      <c r="J92" s="78"/>
      <c r="K92" s="79">
        <v>1</v>
      </c>
      <c r="L92" s="82"/>
      <c r="M92" s="83"/>
      <c r="N92" s="78">
        <f>ROUND(I92/K92,1)</f>
        <v>0</v>
      </c>
      <c r="O92" s="78"/>
      <c r="P92" s="80"/>
    </row>
    <row r="93" spans="2:16" ht="14.25" customHeight="1">
      <c r="B93" s="90" t="s">
        <v>131</v>
      </c>
      <c r="C93" s="90"/>
      <c r="D93" s="90"/>
      <c r="E93" s="90"/>
      <c r="F93" s="90"/>
      <c r="G93" s="68">
        <f>IF(ISERROR('[1]日数 (1)'!D676),0,'[1]日数 (1)'!D676)</f>
        <v>30</v>
      </c>
      <c r="H93" s="69"/>
      <c r="I93" s="91"/>
      <c r="J93" s="92"/>
      <c r="K93" s="93">
        <v>2</v>
      </c>
      <c r="L93" s="69">
        <f>ROUND(G93/K93,1)</f>
        <v>15</v>
      </c>
      <c r="M93" s="69"/>
      <c r="N93" s="91"/>
      <c r="O93" s="92"/>
      <c r="P93" s="94" t="s">
        <v>132</v>
      </c>
    </row>
    <row r="94" spans="2:16" ht="14.25" customHeight="1">
      <c r="B94" s="95" t="s">
        <v>133</v>
      </c>
      <c r="C94" s="95"/>
      <c r="D94" s="95"/>
      <c r="E94" s="95"/>
      <c r="F94" s="95"/>
      <c r="G94" s="96">
        <f>ROUND(E122+(I122/K122*M122),1)</f>
        <v>31.9</v>
      </c>
      <c r="H94" s="97"/>
      <c r="I94" s="98"/>
      <c r="J94" s="82"/>
      <c r="K94" s="99"/>
      <c r="L94" s="97">
        <f>E124</f>
        <v>16.899999999999999</v>
      </c>
      <c r="M94" s="97"/>
      <c r="N94" s="98"/>
      <c r="O94" s="82"/>
      <c r="P94" s="100" t="str">
        <f>IF(P93&lt;&gt;"",P93&amp;"'","")</f>
        <v>Ｇ'</v>
      </c>
    </row>
    <row r="95" spans="2:16" ht="14.25" customHeight="1">
      <c r="B95" s="87" t="s">
        <v>134</v>
      </c>
      <c r="C95" s="87"/>
      <c r="D95" s="87"/>
      <c r="E95" s="87"/>
      <c r="F95" s="87"/>
      <c r="G95" s="68">
        <f>IF(ISERROR('[1]日数 (1)'!D689),0,'[1]日数 (1)'!D689)</f>
        <v>13</v>
      </c>
      <c r="H95" s="69"/>
      <c r="I95" s="84"/>
      <c r="J95" s="85"/>
      <c r="K95" s="79">
        <v>2</v>
      </c>
      <c r="L95" s="69">
        <f>ROUND(G95/K95,1)</f>
        <v>6.5</v>
      </c>
      <c r="M95" s="69"/>
      <c r="N95" s="84"/>
      <c r="O95" s="85"/>
      <c r="P95" s="73" t="s">
        <v>135</v>
      </c>
    </row>
    <row r="96" spans="2:16" ht="14.25" customHeight="1">
      <c r="B96" s="87" t="s">
        <v>136</v>
      </c>
      <c r="C96" s="87"/>
      <c r="D96" s="87"/>
      <c r="E96" s="87"/>
      <c r="F96" s="87"/>
      <c r="G96" s="88">
        <f>IF(ISERROR('[1]日数 (1)'!D718),0,'[1]日数 (1)'!D718)</f>
        <v>3.5</v>
      </c>
      <c r="H96" s="89"/>
      <c r="I96" s="84"/>
      <c r="J96" s="85"/>
      <c r="K96" s="79">
        <v>1</v>
      </c>
      <c r="L96" s="89">
        <f>ROUND(G96/K96,1)</f>
        <v>3.5</v>
      </c>
      <c r="M96" s="89"/>
      <c r="N96" s="84"/>
      <c r="O96" s="85"/>
      <c r="P96" s="73" t="s">
        <v>137</v>
      </c>
    </row>
    <row r="97" spans="2:16" ht="14.25" customHeight="1">
      <c r="B97" s="87" t="s">
        <v>138</v>
      </c>
      <c r="C97" s="87"/>
      <c r="D97" s="87"/>
      <c r="E97" s="87"/>
      <c r="F97" s="87"/>
      <c r="G97" s="88">
        <f>IF(ISERROR('[1]日数 (1)'!D737),0,'[1]日数 (1)'!D737)</f>
        <v>12.7</v>
      </c>
      <c r="H97" s="89"/>
      <c r="I97" s="84"/>
      <c r="J97" s="85"/>
      <c r="K97" s="79">
        <v>1</v>
      </c>
      <c r="L97" s="89">
        <f>ROUND(G97/K97,1)</f>
        <v>12.7</v>
      </c>
      <c r="M97" s="89"/>
      <c r="N97" s="84"/>
      <c r="O97" s="85"/>
      <c r="P97" s="73" t="s">
        <v>139</v>
      </c>
    </row>
    <row r="98" spans="2:16" ht="14.25" customHeight="1">
      <c r="B98" s="87" t="s">
        <v>140</v>
      </c>
      <c r="C98" s="87"/>
      <c r="D98" s="87"/>
      <c r="E98" s="87"/>
      <c r="F98" s="87"/>
      <c r="G98" s="88">
        <f>IF(ISERROR('[1]日数 (1)'!D752),0,'[1]日数 (1)'!D752)</f>
        <v>1</v>
      </c>
      <c r="H98" s="89"/>
      <c r="I98" s="84"/>
      <c r="J98" s="85"/>
      <c r="K98" s="79">
        <v>1</v>
      </c>
      <c r="L98" s="89">
        <f>ROUND(G98/K98,1)</f>
        <v>1</v>
      </c>
      <c r="M98" s="89"/>
      <c r="N98" s="84"/>
      <c r="O98" s="85"/>
      <c r="P98" s="73" t="s">
        <v>141</v>
      </c>
    </row>
    <row r="99" spans="2:16" ht="14.25" customHeight="1">
      <c r="B99" s="65" t="s">
        <v>142</v>
      </c>
      <c r="C99" s="66"/>
      <c r="D99" s="66"/>
      <c r="E99" s="66"/>
      <c r="F99" s="67"/>
      <c r="G99" s="68">
        <f>SUM(I100:J102)</f>
        <v>61.3</v>
      </c>
      <c r="H99" s="69"/>
      <c r="I99" s="84"/>
      <c r="J99" s="85"/>
      <c r="K99" s="72"/>
      <c r="L99" s="69">
        <f>SUM(N100:O102)</f>
        <v>61.3</v>
      </c>
      <c r="M99" s="69"/>
      <c r="N99" s="84"/>
      <c r="O99" s="85"/>
      <c r="P99" s="73" t="s">
        <v>143</v>
      </c>
    </row>
    <row r="100" spans="2:16" ht="14.25" customHeight="1">
      <c r="B100" s="74"/>
      <c r="C100" s="101" t="s">
        <v>144</v>
      </c>
      <c r="D100" s="101"/>
      <c r="E100" s="101"/>
      <c r="F100" s="101"/>
      <c r="G100" s="76"/>
      <c r="H100" s="77"/>
      <c r="I100" s="78">
        <f>IF(ISERROR('[1]日数 (1)'!E789),0,'[1]日数 (1)'!E789)</f>
        <v>61.3</v>
      </c>
      <c r="J100" s="78"/>
      <c r="K100" s="79">
        <v>1</v>
      </c>
      <c r="L100" s="76"/>
      <c r="M100" s="77"/>
      <c r="N100" s="78">
        <f>ROUND(I100/K100,1)</f>
        <v>61.3</v>
      </c>
      <c r="O100" s="78"/>
      <c r="P100" s="80" t="s">
        <v>145</v>
      </c>
    </row>
    <row r="101" spans="2:16" ht="14.25" hidden="1" customHeight="1">
      <c r="B101" s="74"/>
      <c r="C101" s="75" t="s">
        <v>146</v>
      </c>
      <c r="D101" s="75"/>
      <c r="E101" s="75"/>
      <c r="F101" s="75"/>
      <c r="G101" s="76"/>
      <c r="H101" s="77"/>
      <c r="I101" s="78"/>
      <c r="J101" s="78"/>
      <c r="K101" s="79">
        <v>1</v>
      </c>
      <c r="L101" s="76"/>
      <c r="M101" s="77"/>
      <c r="N101" s="78">
        <f>ROUND(I101/K101,1)</f>
        <v>0</v>
      </c>
      <c r="O101" s="78"/>
      <c r="P101" s="80"/>
    </row>
    <row r="102" spans="2:16" ht="14.25" hidden="1" customHeight="1">
      <c r="B102" s="86"/>
      <c r="C102" s="75" t="s">
        <v>147</v>
      </c>
      <c r="D102" s="75"/>
      <c r="E102" s="75"/>
      <c r="F102" s="75"/>
      <c r="G102" s="82"/>
      <c r="H102" s="83"/>
      <c r="I102" s="78"/>
      <c r="J102" s="78"/>
      <c r="K102" s="79">
        <v>1</v>
      </c>
      <c r="L102" s="82"/>
      <c r="M102" s="83"/>
      <c r="N102" s="78">
        <f>ROUND(I102/K102,1)</f>
        <v>0</v>
      </c>
      <c r="O102" s="78"/>
      <c r="P102" s="80"/>
    </row>
    <row r="103" spans="2:16" ht="14.25" hidden="1" customHeight="1">
      <c r="B103" s="87" t="s">
        <v>148</v>
      </c>
      <c r="C103" s="87"/>
      <c r="D103" s="87"/>
      <c r="E103" s="87"/>
      <c r="F103" s="87"/>
      <c r="G103" s="88"/>
      <c r="H103" s="89"/>
      <c r="I103" s="84"/>
      <c r="J103" s="85"/>
      <c r="K103" s="79">
        <v>1</v>
      </c>
      <c r="L103" s="89">
        <f>ROUND(G103/K103,1)</f>
        <v>0</v>
      </c>
      <c r="M103" s="89"/>
      <c r="N103" s="84"/>
      <c r="O103" s="85"/>
      <c r="P103" s="73"/>
    </row>
    <row r="104" spans="2:16" ht="14.25" customHeight="1" thickBot="1">
      <c r="B104" s="102" t="s">
        <v>149</v>
      </c>
      <c r="C104" s="102"/>
      <c r="D104" s="102"/>
      <c r="E104" s="102"/>
      <c r="F104" s="102"/>
      <c r="G104" s="103">
        <f>IF(ISERROR('[1]日数 (1)'!H874),0,'[1]日数 (1)'!H874)</f>
        <v>1.8</v>
      </c>
      <c r="H104" s="104"/>
      <c r="I104" s="105"/>
      <c r="J104" s="106"/>
      <c r="K104" s="107">
        <v>2</v>
      </c>
      <c r="L104" s="104">
        <f>ROUND(G104/K104,1)</f>
        <v>0.9</v>
      </c>
      <c r="M104" s="104"/>
      <c r="N104" s="105"/>
      <c r="O104" s="106"/>
      <c r="P104" s="108" t="s">
        <v>150</v>
      </c>
    </row>
    <row r="105" spans="2:16" ht="14.25" hidden="1" customHeight="1">
      <c r="B105" s="109" t="s">
        <v>151</v>
      </c>
      <c r="C105" s="109"/>
      <c r="D105" s="109"/>
      <c r="E105" s="109"/>
      <c r="F105" s="109"/>
      <c r="G105" s="110"/>
      <c r="H105" s="111"/>
      <c r="I105" s="112"/>
      <c r="J105" s="113"/>
      <c r="K105" s="114">
        <v>1</v>
      </c>
      <c r="L105" s="111">
        <f>ROUND(G105/K105,1)</f>
        <v>0</v>
      </c>
      <c r="M105" s="111"/>
      <c r="N105" s="112"/>
      <c r="O105" s="113"/>
      <c r="P105" s="115"/>
    </row>
    <row r="106" spans="2:16" ht="14.25" customHeight="1">
      <c r="B106" s="83" t="s">
        <v>152</v>
      </c>
      <c r="C106" s="83"/>
      <c r="D106" s="83"/>
      <c r="E106" s="83"/>
      <c r="F106" s="83"/>
      <c r="G106" s="96">
        <f>SUM(G72:H93,G95:H105)</f>
        <v>206.40000000000003</v>
      </c>
      <c r="H106" s="97"/>
      <c r="I106" s="116"/>
      <c r="J106" s="117"/>
      <c r="K106" s="99"/>
      <c r="L106" s="97">
        <f>SUM(L72:M93,L95:M105)</f>
        <v>174.8</v>
      </c>
      <c r="M106" s="97"/>
      <c r="N106" s="116"/>
      <c r="O106" s="117"/>
      <c r="P106" s="118"/>
    </row>
    <row r="107" spans="2:16" ht="14.25" customHeight="1"/>
    <row r="108" spans="2:16" ht="14.25" customHeight="1">
      <c r="B108" s="2" t="s">
        <v>153</v>
      </c>
    </row>
    <row r="109" spans="2:16" ht="14.25" customHeight="1"/>
    <row r="110" spans="2:16" ht="14.25" customHeight="1">
      <c r="C110" s="9" t="s">
        <v>154</v>
      </c>
      <c r="D110" s="6" t="s">
        <v>155</v>
      </c>
      <c r="E110" s="6"/>
      <c r="F110" s="9" t="s">
        <v>34</v>
      </c>
      <c r="G110" s="18">
        <f>M111+H112</f>
        <v>2</v>
      </c>
      <c r="H110" s="2" t="s">
        <v>156</v>
      </c>
    </row>
    <row r="111" spans="2:16" ht="14.25" customHeight="1">
      <c r="D111" s="9" t="s">
        <v>157</v>
      </c>
      <c r="E111" s="2" t="s">
        <v>158</v>
      </c>
      <c r="M111" s="54">
        <v>1</v>
      </c>
      <c r="N111" s="2" t="s">
        <v>156</v>
      </c>
    </row>
    <row r="112" spans="2:16" ht="14.25" customHeight="1">
      <c r="D112" s="9" t="s">
        <v>159</v>
      </c>
      <c r="E112" s="2" t="s">
        <v>160</v>
      </c>
      <c r="H112" s="54">
        <v>1</v>
      </c>
      <c r="I112" s="2" t="s">
        <v>156</v>
      </c>
    </row>
    <row r="113" spans="1:31" ht="14.25" customHeight="1"/>
    <row r="114" spans="1:31" ht="14.25" customHeight="1">
      <c r="C114" s="2" t="s">
        <v>161</v>
      </c>
      <c r="E114" s="9" t="s">
        <v>162</v>
      </c>
      <c r="F114" s="119">
        <f>K16</f>
        <v>26</v>
      </c>
      <c r="G114" s="2" t="s">
        <v>163</v>
      </c>
    </row>
    <row r="115" spans="1:31" ht="14.25" customHeight="1">
      <c r="C115" s="2" t="s">
        <v>164</v>
      </c>
      <c r="E115" s="9" t="s">
        <v>165</v>
      </c>
      <c r="F115" s="119">
        <f>L115*H14</f>
        <v>28</v>
      </c>
      <c r="G115" s="2" t="s">
        <v>163</v>
      </c>
      <c r="H115" s="2" t="s">
        <v>166</v>
      </c>
      <c r="L115" s="19">
        <v>14</v>
      </c>
      <c r="M115" s="2" t="s">
        <v>167</v>
      </c>
    </row>
    <row r="116" spans="1:31" ht="14.25" customHeight="1">
      <c r="C116" s="2" t="s">
        <v>168</v>
      </c>
      <c r="E116" s="9" t="s">
        <v>169</v>
      </c>
      <c r="F116" s="19">
        <v>2</v>
      </c>
      <c r="G116" s="2" t="s">
        <v>170</v>
      </c>
    </row>
    <row r="117" spans="1:31" ht="14.25" customHeight="1">
      <c r="C117" s="2" t="s">
        <v>171</v>
      </c>
      <c r="E117" s="9" t="str">
        <f>P93&amp;"："</f>
        <v>Ｇ：</v>
      </c>
      <c r="F117" s="10">
        <f>G93</f>
        <v>30</v>
      </c>
      <c r="G117" s="2" t="s">
        <v>156</v>
      </c>
    </row>
    <row r="118" spans="1:31" ht="14.25" customHeight="1"/>
    <row r="119" spans="1:31" ht="14.25" customHeight="1">
      <c r="C119" s="2" t="s">
        <v>172</v>
      </c>
    </row>
    <row r="120" spans="1:31" ht="14.25" customHeight="1">
      <c r="D120" s="9" t="str">
        <f>P94&amp;"＝"</f>
        <v>Ｇ'＝</v>
      </c>
      <c r="E120" s="2" t="str">
        <f>P93&amp;"／Ｐ＋（Ｎ／Ｘ×ｄ）"</f>
        <v>Ｇ／Ｐ＋（Ｎ／Ｘ×ｄ）</v>
      </c>
    </row>
    <row r="121" spans="1:31" ht="14.25" customHeight="1"/>
    <row r="122" spans="1:31" ht="14.25" customHeight="1">
      <c r="D122" s="9" t="s">
        <v>173</v>
      </c>
      <c r="E122" s="10">
        <f>F117</f>
        <v>30</v>
      </c>
      <c r="F122" s="9" t="s">
        <v>174</v>
      </c>
      <c r="G122" s="119">
        <f>F116</f>
        <v>2</v>
      </c>
      <c r="H122" s="120" t="s">
        <v>175</v>
      </c>
      <c r="I122" s="119">
        <f>F114</f>
        <v>26</v>
      </c>
      <c r="J122" s="9" t="s">
        <v>176</v>
      </c>
      <c r="K122" s="119">
        <f>F115</f>
        <v>28</v>
      </c>
      <c r="L122" s="9" t="s">
        <v>177</v>
      </c>
      <c r="M122" s="119">
        <f>G110</f>
        <v>2</v>
      </c>
      <c r="N122" s="2" t="s">
        <v>178</v>
      </c>
    </row>
    <row r="123" spans="1:31" ht="14.25" customHeight="1"/>
    <row r="124" spans="1:31" ht="14.25" customHeight="1">
      <c r="D124" s="9" t="s">
        <v>179</v>
      </c>
      <c r="E124" s="10">
        <f>ROUND(E122/G122+(I122/K122*M122),1)</f>
        <v>16.899999999999999</v>
      </c>
      <c r="F124" s="2" t="s">
        <v>156</v>
      </c>
    </row>
    <row r="125" spans="1:31" ht="14.25" customHeight="1"/>
    <row r="126" spans="1:31" ht="14.25" customHeight="1"/>
    <row r="127" spans="1:31" ht="14.25" customHeight="1">
      <c r="A127" s="121" t="s">
        <v>180</v>
      </c>
      <c r="B127" s="122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</row>
    <row r="128" spans="1:31" ht="14.25" customHeight="1">
      <c r="A128" s="123"/>
      <c r="B128" s="123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</row>
    <row r="129" spans="1:31" ht="14.25" hidden="1" customHeight="1">
      <c r="A129" s="122"/>
      <c r="B129" s="122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</row>
    <row r="130" spans="1:31" ht="14.25" hidden="1" customHeight="1">
      <c r="A130" s="123"/>
      <c r="B130" s="123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</row>
    <row r="131" spans="1:31" s="4" customFormat="1" ht="14.25" hidden="1" customHeight="1">
      <c r="A131" s="124"/>
      <c r="B131" s="124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  <c r="T131" s="124"/>
      <c r="U131" s="124"/>
      <c r="V131" s="124"/>
      <c r="W131" s="124"/>
      <c r="X131" s="124"/>
      <c r="Y131" s="124"/>
      <c r="Z131" s="124"/>
      <c r="AA131" s="124"/>
      <c r="AB131" s="124"/>
      <c r="AC131" s="124"/>
      <c r="AD131" s="124"/>
      <c r="AE131" s="124"/>
    </row>
    <row r="132" spans="1:31" ht="14.25" hidden="1" customHeight="1">
      <c r="A132" s="122"/>
      <c r="B132" s="122"/>
      <c r="C132" s="122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2"/>
      <c r="R132" s="122"/>
      <c r="S132" s="122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3"/>
    </row>
    <row r="133" spans="1:31" s="12" customFormat="1" ht="14.25" hidden="1" customHeight="1">
      <c r="A133" s="125"/>
      <c r="B133" s="125"/>
      <c r="C133" s="126" t="s">
        <v>181</v>
      </c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6"/>
      <c r="R133" s="125"/>
      <c r="S133" s="126"/>
      <c r="T133" s="125"/>
      <c r="U133" s="125"/>
      <c r="V133" s="125"/>
      <c r="W133" s="125"/>
      <c r="X133" s="125"/>
      <c r="Y133" s="125"/>
      <c r="Z133" s="125"/>
      <c r="AA133" s="125"/>
      <c r="AB133" s="125"/>
      <c r="AC133" s="125"/>
      <c r="AD133" s="125"/>
      <c r="AE133" s="125"/>
    </row>
    <row r="134" spans="1:31" s="12" customFormat="1" ht="14.25" hidden="1" customHeight="1">
      <c r="A134" s="125"/>
      <c r="B134" s="125"/>
      <c r="C134" s="126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6"/>
      <c r="R134" s="125"/>
      <c r="S134" s="126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  <c r="AD134" s="125"/>
      <c r="AE134" s="125"/>
    </row>
    <row r="135" spans="1:31" s="12" customFormat="1" ht="14.25" hidden="1" customHeight="1">
      <c r="A135" s="125"/>
      <c r="B135" s="125"/>
      <c r="C135" s="126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6"/>
      <c r="R135" s="125"/>
      <c r="S135" s="126"/>
      <c r="T135" s="125"/>
      <c r="U135" s="125"/>
      <c r="V135" s="125"/>
      <c r="W135" s="125"/>
      <c r="X135" s="125"/>
      <c r="Y135" s="125"/>
      <c r="Z135" s="125"/>
      <c r="AA135" s="125"/>
      <c r="AB135" s="125"/>
      <c r="AC135" s="125"/>
      <c r="AD135" s="125"/>
      <c r="AE135" s="125"/>
    </row>
    <row r="136" spans="1:31" ht="14.25" hidden="1" customHeight="1">
      <c r="A136" s="123"/>
      <c r="B136" s="122"/>
      <c r="C136" s="127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8"/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  <c r="AA136" s="123"/>
      <c r="AB136" s="123"/>
      <c r="AC136" s="123"/>
      <c r="AD136" s="123"/>
      <c r="AE136" s="123"/>
    </row>
    <row r="137" spans="1:31" ht="14.25" hidden="1" customHeight="1">
      <c r="A137" s="123"/>
      <c r="B137" s="122"/>
      <c r="C137" s="123" t="s">
        <v>182</v>
      </c>
      <c r="D137" s="129"/>
      <c r="E137" s="130" t="s">
        <v>183</v>
      </c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3"/>
      <c r="AE137" s="123"/>
    </row>
    <row r="138" spans="1:31" ht="14.25" hidden="1" customHeight="1">
      <c r="A138" s="123"/>
      <c r="B138" s="123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  <c r="AC138" s="123"/>
      <c r="AD138" s="123"/>
      <c r="AE138" s="123"/>
    </row>
    <row r="139" spans="1:31" ht="14.25" customHeight="1">
      <c r="A139" s="123"/>
      <c r="B139" s="122" t="s">
        <v>184</v>
      </c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3"/>
      <c r="AC139" s="123"/>
      <c r="AD139" s="123"/>
      <c r="AE139" s="123"/>
    </row>
    <row r="140" spans="1:31" ht="14.25" customHeight="1">
      <c r="A140" s="123"/>
      <c r="B140" s="123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  <c r="AC140" s="123"/>
      <c r="AD140" s="123"/>
      <c r="AE140" s="123"/>
    </row>
    <row r="141" spans="1:31" s="4" customFormat="1" ht="14.25" customHeight="1">
      <c r="A141" s="124"/>
      <c r="B141" s="124"/>
      <c r="C141" s="124" t="s">
        <v>185</v>
      </c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  <c r="U141" s="124"/>
      <c r="V141" s="124"/>
      <c r="W141" s="124"/>
      <c r="X141" s="124"/>
      <c r="Y141" s="124"/>
      <c r="Z141" s="124"/>
      <c r="AA141" s="124"/>
      <c r="AB141" s="124"/>
      <c r="AC141" s="124"/>
      <c r="AD141" s="124"/>
      <c r="AE141" s="124"/>
    </row>
    <row r="142" spans="1:31" ht="14.25" customHeight="1">
      <c r="A142" s="123"/>
      <c r="B142" s="122"/>
      <c r="C142" s="122"/>
      <c r="D142" s="123"/>
      <c r="E142" s="123"/>
      <c r="F142" s="123"/>
      <c r="G142" s="123"/>
      <c r="H142" s="123"/>
      <c r="I142" s="123"/>
      <c r="J142" s="123"/>
      <c r="K142" s="123"/>
      <c r="L142" s="123"/>
      <c r="M142" s="122"/>
      <c r="N142" s="122"/>
      <c r="O142" s="122"/>
      <c r="P142" s="122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3"/>
      <c r="AE142" s="123"/>
    </row>
    <row r="143" spans="1:31" s="12" customFormat="1" ht="14.25" customHeight="1">
      <c r="A143" s="125"/>
      <c r="B143" s="125"/>
      <c r="C143" s="126" t="s">
        <v>181</v>
      </c>
      <c r="D143" s="131">
        <f>N76</f>
        <v>6.2</v>
      </c>
      <c r="E143" s="125" t="s">
        <v>76</v>
      </c>
      <c r="F143" s="131">
        <f>N77</f>
        <v>4</v>
      </c>
      <c r="G143" s="125" t="s">
        <v>76</v>
      </c>
      <c r="H143" s="131">
        <f>L78</f>
        <v>16.2</v>
      </c>
      <c r="I143" s="125" t="s">
        <v>76</v>
      </c>
      <c r="J143" s="131">
        <f>L82</f>
        <v>3.3</v>
      </c>
      <c r="K143" s="125" t="s">
        <v>76</v>
      </c>
      <c r="L143" s="131">
        <f>L85</f>
        <v>11.7</v>
      </c>
      <c r="M143" s="126" t="s">
        <v>76</v>
      </c>
      <c r="N143" s="131">
        <f>L86</f>
        <v>6</v>
      </c>
      <c r="O143" s="126" t="s">
        <v>76</v>
      </c>
      <c r="P143" s="131">
        <f>L87</f>
        <v>17.7</v>
      </c>
      <c r="Q143" s="125" t="s">
        <v>76</v>
      </c>
      <c r="R143" s="131">
        <f>L95</f>
        <v>6.5</v>
      </c>
      <c r="S143" s="125" t="s">
        <v>76</v>
      </c>
      <c r="T143" s="131">
        <f>L96</f>
        <v>3.5</v>
      </c>
      <c r="U143" s="125"/>
      <c r="V143" s="125"/>
      <c r="W143" s="125"/>
      <c r="X143" s="125"/>
      <c r="Y143" s="125"/>
      <c r="Z143" s="125"/>
      <c r="AA143" s="125"/>
      <c r="AB143" s="125"/>
      <c r="AC143" s="125"/>
      <c r="AD143" s="125"/>
      <c r="AE143" s="125"/>
    </row>
    <row r="144" spans="1:31" s="12" customFormat="1" ht="14.25" customHeight="1">
      <c r="A144" s="125"/>
      <c r="B144" s="125"/>
      <c r="C144" s="126"/>
      <c r="D144" s="125" t="s">
        <v>76</v>
      </c>
      <c r="E144" s="131">
        <f>L97</f>
        <v>12.7</v>
      </c>
      <c r="F144" s="125" t="s">
        <v>76</v>
      </c>
      <c r="G144" s="131">
        <f>L94</f>
        <v>16.899999999999999</v>
      </c>
      <c r="H144" s="125" t="s">
        <v>76</v>
      </c>
      <c r="I144" s="131">
        <f>L104</f>
        <v>0.9</v>
      </c>
      <c r="J144" s="125" t="s">
        <v>186</v>
      </c>
      <c r="K144" s="125">
        <v>1.7</v>
      </c>
      <c r="L144" s="125"/>
      <c r="M144" s="126"/>
      <c r="N144" s="125"/>
      <c r="O144" s="126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  <c r="Z144" s="125"/>
      <c r="AA144" s="125"/>
      <c r="AB144" s="125"/>
      <c r="AC144" s="125"/>
      <c r="AD144" s="125"/>
      <c r="AE144" s="125"/>
    </row>
    <row r="145" spans="1:31" s="12" customFormat="1" ht="14.25" hidden="1" customHeight="1">
      <c r="A145" s="125"/>
      <c r="B145" s="125"/>
      <c r="C145" s="126"/>
      <c r="D145" s="125"/>
      <c r="E145" s="125"/>
      <c r="F145" s="125"/>
      <c r="G145" s="125"/>
      <c r="H145" s="125"/>
      <c r="I145" s="125"/>
      <c r="J145" s="125"/>
      <c r="K145" s="125"/>
      <c r="L145" s="125"/>
      <c r="M145" s="126"/>
      <c r="N145" s="125"/>
      <c r="O145" s="126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  <c r="Z145" s="125"/>
      <c r="AA145" s="125"/>
      <c r="AB145" s="125"/>
      <c r="AC145" s="125"/>
      <c r="AD145" s="125"/>
      <c r="AE145" s="125"/>
    </row>
    <row r="146" spans="1:31" ht="14.25" customHeight="1">
      <c r="A146" s="123"/>
      <c r="B146" s="122"/>
      <c r="C146" s="127"/>
      <c r="D146" s="123"/>
      <c r="E146" s="123"/>
      <c r="F146" s="123"/>
      <c r="G146" s="123"/>
      <c r="H146" s="123"/>
      <c r="I146" s="123"/>
      <c r="J146" s="123"/>
      <c r="K146" s="128"/>
      <c r="L146" s="123"/>
      <c r="M146" s="122"/>
      <c r="N146" s="122"/>
      <c r="O146" s="127"/>
      <c r="P146" s="122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3"/>
      <c r="AB146" s="123"/>
      <c r="AC146" s="123"/>
      <c r="AD146" s="123"/>
      <c r="AE146" s="123"/>
    </row>
    <row r="147" spans="1:31" ht="14.25" customHeight="1" thickBot="1">
      <c r="A147" s="123"/>
      <c r="B147" s="122"/>
      <c r="C147" s="123" t="s">
        <v>182</v>
      </c>
      <c r="D147" s="129">
        <f>ROUND(($D$143+$F$143+$H$143+$J$143+$L$143+$N$143+$P$143+$R$143+$T$143+$E$144+$G$144+$I$144)*$K$144,0)</f>
        <v>180</v>
      </c>
      <c r="E147" s="130" t="s">
        <v>183</v>
      </c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  <c r="AA147" s="123"/>
      <c r="AB147" s="123"/>
      <c r="AC147" s="123"/>
      <c r="AD147" s="123"/>
      <c r="AE147" s="123"/>
    </row>
    <row r="148" spans="1:31" ht="14.25" customHeight="1">
      <c r="A148" s="123"/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3"/>
      <c r="AB148" s="123"/>
      <c r="AC148" s="123"/>
      <c r="AD148" s="123"/>
      <c r="AE148" s="123"/>
    </row>
    <row r="149" spans="1:31" ht="14.25" customHeight="1">
      <c r="A149" s="123"/>
      <c r="B149" s="122" t="s">
        <v>187</v>
      </c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3"/>
      <c r="R149" s="123"/>
      <c r="S149" s="123"/>
      <c r="T149" s="123"/>
      <c r="U149" s="123"/>
      <c r="V149" s="123"/>
      <c r="W149" s="123"/>
      <c r="X149" s="123"/>
      <c r="Y149" s="123"/>
      <c r="Z149" s="123"/>
      <c r="AA149" s="123"/>
      <c r="AB149" s="123"/>
      <c r="AC149" s="123"/>
      <c r="AD149" s="123"/>
      <c r="AE149" s="123"/>
    </row>
    <row r="150" spans="1:31" ht="14.25" customHeight="1">
      <c r="A150" s="123"/>
      <c r="B150" s="123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23"/>
      <c r="W150" s="123"/>
      <c r="X150" s="123"/>
      <c r="Y150" s="123"/>
      <c r="Z150" s="123"/>
      <c r="AA150" s="123"/>
      <c r="AB150" s="123"/>
      <c r="AC150" s="123"/>
      <c r="AD150" s="123"/>
      <c r="AE150" s="123"/>
    </row>
    <row r="151" spans="1:31" s="4" customFormat="1" ht="14.25" customHeight="1">
      <c r="A151" s="124"/>
      <c r="B151" s="124"/>
      <c r="C151" s="124" t="s">
        <v>188</v>
      </c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  <c r="R151" s="124"/>
      <c r="S151" s="124"/>
      <c r="T151" s="124"/>
      <c r="U151" s="124"/>
      <c r="V151" s="124"/>
      <c r="W151" s="124"/>
      <c r="X151" s="124"/>
      <c r="Y151" s="124"/>
      <c r="Z151" s="124"/>
      <c r="AA151" s="124"/>
      <c r="AB151" s="124"/>
      <c r="AC151" s="124"/>
      <c r="AD151" s="124"/>
      <c r="AE151" s="124"/>
    </row>
    <row r="152" spans="1:31" ht="14.25" customHeight="1">
      <c r="A152" s="123"/>
      <c r="B152" s="122"/>
      <c r="C152" s="122"/>
      <c r="D152" s="123"/>
      <c r="E152" s="123"/>
      <c r="F152" s="123"/>
      <c r="G152" s="123"/>
      <c r="H152" s="123"/>
      <c r="I152" s="123"/>
      <c r="J152" s="123"/>
      <c r="K152" s="123"/>
      <c r="L152" s="123"/>
      <c r="M152" s="122"/>
      <c r="N152" s="122"/>
      <c r="O152" s="122"/>
      <c r="P152" s="122"/>
      <c r="Q152" s="123"/>
      <c r="R152" s="123"/>
      <c r="S152" s="123"/>
      <c r="T152" s="123"/>
      <c r="U152" s="123"/>
      <c r="V152" s="123"/>
      <c r="W152" s="123"/>
      <c r="X152" s="123"/>
      <c r="Y152" s="123"/>
      <c r="Z152" s="123"/>
      <c r="AA152" s="123"/>
      <c r="AB152" s="123"/>
      <c r="AC152" s="123"/>
      <c r="AD152" s="123"/>
      <c r="AE152" s="123"/>
    </row>
    <row r="153" spans="1:31" s="12" customFormat="1" ht="14.25" customHeight="1">
      <c r="A153" s="125"/>
      <c r="B153" s="125"/>
      <c r="C153" s="126" t="s">
        <v>181</v>
      </c>
      <c r="D153" s="131">
        <f>N77</f>
        <v>4</v>
      </c>
      <c r="E153" s="125" t="s">
        <v>76</v>
      </c>
      <c r="F153" s="131">
        <f>L78</f>
        <v>16.2</v>
      </c>
      <c r="G153" s="125" t="s">
        <v>76</v>
      </c>
      <c r="H153" s="131">
        <f>L82</f>
        <v>3.3</v>
      </c>
      <c r="I153" s="125" t="s">
        <v>76</v>
      </c>
      <c r="J153" s="131">
        <f>L85</f>
        <v>11.7</v>
      </c>
      <c r="K153" s="125" t="s">
        <v>76</v>
      </c>
      <c r="L153" s="131">
        <f>L86</f>
        <v>6</v>
      </c>
      <c r="M153" s="126" t="s">
        <v>76</v>
      </c>
      <c r="N153" s="131">
        <f>L87</f>
        <v>17.7</v>
      </c>
      <c r="O153" s="126" t="s">
        <v>76</v>
      </c>
      <c r="P153" s="131">
        <f>L95</f>
        <v>6.5</v>
      </c>
      <c r="Q153" s="125" t="s">
        <v>76</v>
      </c>
      <c r="R153" s="131">
        <f>L96</f>
        <v>3.5</v>
      </c>
      <c r="S153" s="125" t="s">
        <v>76</v>
      </c>
      <c r="T153" s="131">
        <f>L97</f>
        <v>12.7</v>
      </c>
      <c r="U153" s="125"/>
      <c r="V153" s="125"/>
      <c r="W153" s="125"/>
      <c r="X153" s="125"/>
      <c r="Y153" s="125"/>
      <c r="Z153" s="125"/>
      <c r="AA153" s="125"/>
      <c r="AB153" s="125"/>
      <c r="AC153" s="125"/>
      <c r="AD153" s="125"/>
      <c r="AE153" s="125"/>
    </row>
    <row r="154" spans="1:31" s="12" customFormat="1" ht="14.25" customHeight="1">
      <c r="A154" s="125"/>
      <c r="B154" s="125"/>
      <c r="C154" s="126"/>
      <c r="D154" s="125" t="s">
        <v>76</v>
      </c>
      <c r="E154" s="131">
        <f>L94</f>
        <v>16.899999999999999</v>
      </c>
      <c r="F154" s="125" t="s">
        <v>76</v>
      </c>
      <c r="G154" s="131">
        <f>L104</f>
        <v>0.9</v>
      </c>
      <c r="H154" s="125" t="s">
        <v>186</v>
      </c>
      <c r="I154" s="125">
        <v>1.7</v>
      </c>
      <c r="J154" s="125"/>
      <c r="K154" s="125"/>
      <c r="L154" s="125"/>
      <c r="M154" s="126"/>
      <c r="N154" s="125"/>
      <c r="O154" s="126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125"/>
      <c r="AB154" s="125"/>
      <c r="AC154" s="125"/>
      <c r="AD154" s="125"/>
      <c r="AE154" s="125"/>
    </row>
    <row r="155" spans="1:31" s="12" customFormat="1" ht="14.25" hidden="1" customHeight="1">
      <c r="A155" s="125"/>
      <c r="B155" s="125"/>
      <c r="C155" s="126"/>
      <c r="D155" s="125"/>
      <c r="E155" s="125"/>
      <c r="F155" s="125"/>
      <c r="G155" s="125"/>
      <c r="H155" s="125"/>
      <c r="I155" s="125"/>
      <c r="J155" s="125"/>
      <c r="K155" s="125"/>
      <c r="L155" s="125"/>
      <c r="M155" s="126"/>
      <c r="N155" s="125"/>
      <c r="O155" s="126"/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  <c r="Z155" s="125"/>
      <c r="AA155" s="125"/>
      <c r="AB155" s="125"/>
      <c r="AC155" s="125"/>
      <c r="AD155" s="125"/>
      <c r="AE155" s="125"/>
    </row>
    <row r="156" spans="1:31" ht="14.25" customHeight="1">
      <c r="A156" s="123"/>
      <c r="B156" s="122"/>
      <c r="C156" s="127"/>
      <c r="D156" s="123"/>
      <c r="E156" s="123"/>
      <c r="F156" s="123"/>
      <c r="G156" s="123"/>
      <c r="H156" s="123"/>
      <c r="I156" s="123"/>
      <c r="J156" s="123"/>
      <c r="K156" s="128"/>
      <c r="L156" s="123"/>
      <c r="M156" s="122"/>
      <c r="N156" s="122"/>
      <c r="O156" s="127"/>
      <c r="P156" s="122"/>
      <c r="Q156" s="123"/>
      <c r="R156" s="123"/>
      <c r="S156" s="123"/>
      <c r="T156" s="123"/>
      <c r="U156" s="123"/>
      <c r="V156" s="123"/>
      <c r="W156" s="123"/>
      <c r="X156" s="123"/>
      <c r="Y156" s="123"/>
      <c r="Z156" s="123"/>
      <c r="AA156" s="123"/>
      <c r="AB156" s="123"/>
      <c r="AC156" s="123"/>
      <c r="AD156" s="123"/>
      <c r="AE156" s="123"/>
    </row>
    <row r="157" spans="1:31" ht="14.25" customHeight="1" thickBot="1">
      <c r="A157" s="123"/>
      <c r="B157" s="122"/>
      <c r="C157" s="123" t="s">
        <v>182</v>
      </c>
      <c r="D157" s="129">
        <f>ROUND(($D$153+$F$153+$H$153+$J$153+$L$153+$N$153+$P$153+$R$153+$T$153+$E$154+$G$154)*$I$154,0)</f>
        <v>169</v>
      </c>
      <c r="E157" s="130" t="s">
        <v>183</v>
      </c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3"/>
      <c r="R157" s="123"/>
      <c r="S157" s="123"/>
      <c r="T157" s="123"/>
      <c r="U157" s="123"/>
      <c r="V157" s="123"/>
      <c r="W157" s="123"/>
      <c r="X157" s="123"/>
      <c r="Y157" s="123"/>
      <c r="Z157" s="123"/>
      <c r="AA157" s="123"/>
      <c r="AB157" s="123"/>
      <c r="AC157" s="123"/>
      <c r="AD157" s="123"/>
      <c r="AE157" s="123"/>
    </row>
    <row r="158" spans="1:31" ht="14.25" customHeight="1">
      <c r="A158" s="123"/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  <c r="Y158" s="123"/>
      <c r="Z158" s="123"/>
      <c r="AA158" s="123"/>
      <c r="AB158" s="123"/>
      <c r="AC158" s="123"/>
      <c r="AD158" s="123"/>
      <c r="AE158" s="123"/>
    </row>
    <row r="159" spans="1:31" ht="14.25" customHeight="1">
      <c r="A159" s="123"/>
      <c r="B159" s="122" t="s">
        <v>189</v>
      </c>
      <c r="C159" s="122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3"/>
      <c r="R159" s="123"/>
      <c r="S159" s="123"/>
      <c r="T159" s="123"/>
      <c r="U159" s="123"/>
      <c r="V159" s="123"/>
      <c r="W159" s="123"/>
      <c r="X159" s="123"/>
      <c r="Y159" s="123"/>
      <c r="Z159" s="123"/>
      <c r="AA159" s="123"/>
      <c r="AB159" s="123"/>
      <c r="AC159" s="123"/>
      <c r="AD159" s="123"/>
      <c r="AE159" s="123"/>
    </row>
    <row r="160" spans="1:31" ht="14.25" customHeight="1">
      <c r="A160" s="123"/>
      <c r="B160" s="122"/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3"/>
      <c r="R160" s="123"/>
      <c r="S160" s="123"/>
      <c r="T160" s="123"/>
      <c r="U160" s="123"/>
      <c r="V160" s="123"/>
      <c r="W160" s="123"/>
      <c r="X160" s="123"/>
      <c r="Y160" s="123"/>
      <c r="Z160" s="123"/>
      <c r="AA160" s="123"/>
      <c r="AB160" s="123"/>
      <c r="AC160" s="123"/>
      <c r="AD160" s="123"/>
      <c r="AE160" s="123"/>
    </row>
    <row r="161" spans="1:31" ht="14.25" customHeight="1">
      <c r="A161" s="123"/>
      <c r="B161" s="122" t="s">
        <v>190</v>
      </c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3"/>
      <c r="R161" s="123"/>
      <c r="S161" s="123"/>
      <c r="T161" s="123"/>
      <c r="U161" s="123"/>
      <c r="V161" s="123"/>
      <c r="W161" s="123"/>
      <c r="X161" s="123"/>
      <c r="Y161" s="123"/>
      <c r="Z161" s="123"/>
      <c r="AA161" s="123"/>
      <c r="AB161" s="123"/>
      <c r="AC161" s="123"/>
      <c r="AD161" s="123"/>
      <c r="AE161" s="123"/>
    </row>
    <row r="162" spans="1:31" ht="14.25" customHeight="1">
      <c r="A162" s="123"/>
      <c r="B162" s="123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  <c r="X162" s="123"/>
      <c r="Y162" s="123"/>
      <c r="Z162" s="123"/>
      <c r="AA162" s="123"/>
      <c r="AB162" s="123"/>
      <c r="AC162" s="123"/>
      <c r="AD162" s="123"/>
      <c r="AE162" s="123"/>
    </row>
    <row r="163" spans="1:31" s="4" customFormat="1" ht="14.25" customHeight="1">
      <c r="A163" s="124"/>
      <c r="B163" s="124"/>
      <c r="C163" s="124" t="s">
        <v>191</v>
      </c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  <c r="R163" s="124"/>
      <c r="S163" s="124"/>
      <c r="T163" s="124"/>
      <c r="U163" s="124"/>
      <c r="V163" s="124"/>
      <c r="W163" s="124"/>
      <c r="X163" s="124"/>
      <c r="Y163" s="124"/>
      <c r="Z163" s="124"/>
      <c r="AA163" s="124"/>
      <c r="AB163" s="124"/>
      <c r="AC163" s="124"/>
      <c r="AD163" s="124"/>
      <c r="AE163" s="124"/>
    </row>
    <row r="164" spans="1:31" ht="14.25" customHeight="1">
      <c r="A164" s="123"/>
      <c r="B164" s="122"/>
      <c r="C164" s="122"/>
      <c r="D164" s="123"/>
      <c r="E164" s="123"/>
      <c r="F164" s="123"/>
      <c r="G164" s="123"/>
      <c r="H164" s="123"/>
      <c r="I164" s="123"/>
      <c r="J164" s="123"/>
      <c r="K164" s="123"/>
      <c r="L164" s="123"/>
      <c r="M164" s="122"/>
      <c r="N164" s="122"/>
      <c r="O164" s="122"/>
      <c r="P164" s="122"/>
      <c r="Q164" s="123"/>
      <c r="R164" s="123"/>
      <c r="S164" s="123"/>
      <c r="T164" s="123"/>
      <c r="U164" s="123"/>
      <c r="V164" s="123"/>
      <c r="W164" s="123"/>
      <c r="X164" s="123"/>
      <c r="Y164" s="123"/>
      <c r="Z164" s="123"/>
      <c r="AA164" s="123"/>
      <c r="AB164" s="123"/>
      <c r="AC164" s="123"/>
      <c r="AD164" s="123"/>
      <c r="AE164" s="123"/>
    </row>
    <row r="165" spans="1:31" s="12" customFormat="1" ht="14.25" customHeight="1">
      <c r="A165" s="125"/>
      <c r="B165" s="125"/>
      <c r="C165" s="126" t="s">
        <v>181</v>
      </c>
      <c r="D165" s="131">
        <f>L78</f>
        <v>16.2</v>
      </c>
      <c r="E165" s="125" t="s">
        <v>76</v>
      </c>
      <c r="F165" s="131">
        <f>L82</f>
        <v>3.3</v>
      </c>
      <c r="G165" s="125" t="s">
        <v>76</v>
      </c>
      <c r="H165" s="131">
        <f>L86</f>
        <v>6</v>
      </c>
      <c r="I165" s="125" t="s">
        <v>76</v>
      </c>
      <c r="J165" s="131">
        <f>L87</f>
        <v>17.7</v>
      </c>
      <c r="K165" s="125" t="s">
        <v>76</v>
      </c>
      <c r="L165" s="131">
        <f>L95</f>
        <v>6.5</v>
      </c>
      <c r="M165" s="126" t="s">
        <v>76</v>
      </c>
      <c r="N165" s="131">
        <f>L96</f>
        <v>3.5</v>
      </c>
      <c r="O165" s="126" t="s">
        <v>76</v>
      </c>
      <c r="P165" s="131">
        <f>L97</f>
        <v>12.7</v>
      </c>
      <c r="Q165" s="125" t="s">
        <v>76</v>
      </c>
      <c r="R165" s="131">
        <f>L94</f>
        <v>16.899999999999999</v>
      </c>
      <c r="S165" s="125" t="s">
        <v>76</v>
      </c>
      <c r="T165" s="131">
        <f>L104</f>
        <v>0.9</v>
      </c>
      <c r="U165" s="125"/>
      <c r="V165" s="125"/>
      <c r="W165" s="125"/>
      <c r="X165" s="125"/>
      <c r="Y165" s="125"/>
      <c r="Z165" s="125"/>
      <c r="AA165" s="125"/>
      <c r="AB165" s="125"/>
      <c r="AC165" s="125"/>
      <c r="AD165" s="125"/>
      <c r="AE165" s="125"/>
    </row>
    <row r="166" spans="1:31" s="12" customFormat="1" ht="14.25" customHeight="1">
      <c r="A166" s="125"/>
      <c r="B166" s="125"/>
      <c r="C166" s="126"/>
      <c r="D166" s="125" t="s">
        <v>186</v>
      </c>
      <c r="E166" s="125">
        <v>1.7</v>
      </c>
      <c r="F166" s="125"/>
      <c r="G166" s="125"/>
      <c r="H166" s="125"/>
      <c r="I166" s="125"/>
      <c r="J166" s="125"/>
      <c r="K166" s="125"/>
      <c r="L166" s="125"/>
      <c r="M166" s="126"/>
      <c r="N166" s="125"/>
      <c r="O166" s="126"/>
      <c r="P166" s="125"/>
      <c r="Q166" s="125"/>
      <c r="R166" s="125"/>
      <c r="S166" s="125"/>
      <c r="T166" s="125"/>
      <c r="U166" s="125"/>
      <c r="V166" s="125"/>
      <c r="W166" s="125"/>
      <c r="X166" s="125"/>
      <c r="Y166" s="125"/>
      <c r="Z166" s="125"/>
      <c r="AA166" s="125"/>
      <c r="AB166" s="125"/>
      <c r="AC166" s="125"/>
      <c r="AD166" s="125"/>
      <c r="AE166" s="125"/>
    </row>
    <row r="167" spans="1:31" s="12" customFormat="1" ht="14.25" hidden="1" customHeight="1">
      <c r="A167" s="125"/>
      <c r="B167" s="125"/>
      <c r="C167" s="126"/>
      <c r="D167" s="125"/>
      <c r="E167" s="125"/>
      <c r="F167" s="125"/>
      <c r="G167" s="125"/>
      <c r="H167" s="125"/>
      <c r="I167" s="125"/>
      <c r="J167" s="125"/>
      <c r="K167" s="125"/>
      <c r="L167" s="125"/>
      <c r="M167" s="126"/>
      <c r="N167" s="125"/>
      <c r="O167" s="126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  <c r="Z167" s="125"/>
      <c r="AA167" s="125"/>
      <c r="AB167" s="125"/>
      <c r="AC167" s="125"/>
      <c r="AD167" s="125"/>
      <c r="AE167" s="125"/>
    </row>
    <row r="168" spans="1:31" ht="14.25" customHeight="1">
      <c r="A168" s="123"/>
      <c r="B168" s="122"/>
      <c r="C168" s="127"/>
      <c r="D168" s="123"/>
      <c r="E168" s="123"/>
      <c r="F168" s="123"/>
      <c r="G168" s="123"/>
      <c r="H168" s="123"/>
      <c r="I168" s="123"/>
      <c r="J168" s="123"/>
      <c r="K168" s="128"/>
      <c r="L168" s="123"/>
      <c r="M168" s="122"/>
      <c r="N168" s="122"/>
      <c r="O168" s="127"/>
      <c r="P168" s="122"/>
      <c r="Q168" s="123"/>
      <c r="R168" s="123"/>
      <c r="S168" s="123"/>
      <c r="T168" s="123"/>
      <c r="U168" s="123"/>
      <c r="V168" s="123"/>
      <c r="W168" s="123"/>
      <c r="X168" s="123"/>
      <c r="Y168" s="123"/>
      <c r="Z168" s="123"/>
      <c r="AA168" s="123"/>
      <c r="AB168" s="123"/>
      <c r="AC168" s="123"/>
      <c r="AD168" s="123"/>
      <c r="AE168" s="123"/>
    </row>
    <row r="169" spans="1:31" ht="14.25" customHeight="1" thickBot="1">
      <c r="A169" s="123"/>
      <c r="B169" s="122"/>
      <c r="C169" s="123" t="s">
        <v>182</v>
      </c>
      <c r="D169" s="129">
        <f>ROUND(($D$165+$F$165+$H$165+$J$165+$L$165+$N$165+$P$165+$R$165+$T$165)*$E$166,0)</f>
        <v>142</v>
      </c>
      <c r="E169" s="130" t="s">
        <v>183</v>
      </c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3"/>
      <c r="R169" s="123"/>
      <c r="S169" s="123"/>
      <c r="T169" s="123"/>
      <c r="U169" s="123"/>
      <c r="V169" s="123"/>
      <c r="W169" s="123"/>
      <c r="X169" s="123"/>
      <c r="Y169" s="123"/>
      <c r="Z169" s="123"/>
      <c r="AA169" s="123"/>
      <c r="AB169" s="123"/>
      <c r="AC169" s="123"/>
      <c r="AD169" s="123"/>
      <c r="AE169" s="123"/>
    </row>
    <row r="170" spans="1:31" ht="14.25" customHeight="1">
      <c r="A170" s="123"/>
      <c r="B170" s="123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3"/>
      <c r="T170" s="123"/>
      <c r="U170" s="123"/>
      <c r="V170" s="123"/>
      <c r="W170" s="123"/>
      <c r="X170" s="123"/>
      <c r="Y170" s="123"/>
      <c r="Z170" s="123"/>
      <c r="AA170" s="123"/>
      <c r="AB170" s="123"/>
      <c r="AC170" s="123"/>
      <c r="AD170" s="123"/>
      <c r="AE170" s="123"/>
    </row>
    <row r="171" spans="1:31" ht="14.25" customHeight="1">
      <c r="A171" s="123"/>
      <c r="B171" s="122" t="s">
        <v>192</v>
      </c>
      <c r="C171" s="122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3"/>
      <c r="R171" s="123"/>
      <c r="S171" s="123"/>
      <c r="T171" s="123"/>
      <c r="U171" s="123"/>
      <c r="V171" s="123"/>
      <c r="W171" s="123"/>
      <c r="X171" s="123"/>
      <c r="Y171" s="123"/>
      <c r="Z171" s="123"/>
      <c r="AA171" s="123"/>
      <c r="AB171" s="123"/>
      <c r="AC171" s="123"/>
      <c r="AD171" s="123"/>
      <c r="AE171" s="123"/>
    </row>
    <row r="172" spans="1:31" ht="14.25" customHeight="1">
      <c r="A172" s="123"/>
      <c r="B172" s="123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  <c r="Y172" s="123"/>
      <c r="Z172" s="123"/>
      <c r="AA172" s="123"/>
      <c r="AB172" s="123"/>
      <c r="AC172" s="123"/>
      <c r="AD172" s="123"/>
      <c r="AE172" s="123"/>
    </row>
    <row r="173" spans="1:31" s="4" customFormat="1" ht="14.25" customHeight="1">
      <c r="A173" s="124"/>
      <c r="B173" s="124"/>
      <c r="C173" s="124" t="s">
        <v>193</v>
      </c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  <c r="Q173" s="124"/>
      <c r="R173" s="124"/>
      <c r="S173" s="124"/>
      <c r="T173" s="124"/>
      <c r="U173" s="124"/>
      <c r="V173" s="124"/>
      <c r="W173" s="124"/>
      <c r="X173" s="124"/>
      <c r="Y173" s="124"/>
      <c r="Z173" s="124"/>
      <c r="AA173" s="124"/>
      <c r="AB173" s="124"/>
      <c r="AC173" s="124"/>
      <c r="AD173" s="124"/>
      <c r="AE173" s="124"/>
    </row>
    <row r="174" spans="1:31" ht="14.25" customHeight="1">
      <c r="A174" s="123"/>
      <c r="B174" s="122"/>
      <c r="C174" s="122"/>
      <c r="D174" s="123"/>
      <c r="E174" s="123"/>
      <c r="F174" s="123"/>
      <c r="G174" s="123"/>
      <c r="H174" s="123"/>
      <c r="I174" s="123"/>
      <c r="J174" s="123"/>
      <c r="K174" s="123"/>
      <c r="L174" s="123"/>
      <c r="M174" s="122"/>
      <c r="N174" s="122"/>
      <c r="O174" s="122"/>
      <c r="P174" s="122"/>
      <c r="Q174" s="123"/>
      <c r="R174" s="123"/>
      <c r="S174" s="123"/>
      <c r="T174" s="123"/>
      <c r="U174" s="123"/>
      <c r="V174" s="123"/>
      <c r="W174" s="123"/>
      <c r="X174" s="123"/>
      <c r="Y174" s="123"/>
      <c r="Z174" s="123"/>
      <c r="AA174" s="123"/>
      <c r="AB174" s="123"/>
      <c r="AC174" s="123"/>
      <c r="AD174" s="123"/>
      <c r="AE174" s="123"/>
    </row>
    <row r="175" spans="1:31" s="12" customFormat="1" ht="14.25" customHeight="1">
      <c r="A175" s="125"/>
      <c r="B175" s="125"/>
      <c r="C175" s="126" t="s">
        <v>181</v>
      </c>
      <c r="D175" s="131">
        <f>N80</f>
        <v>2.6</v>
      </c>
      <c r="E175" s="125" t="s">
        <v>76</v>
      </c>
      <c r="F175" s="131">
        <f>N81</f>
        <v>4.4000000000000004</v>
      </c>
      <c r="G175" s="125" t="s">
        <v>76</v>
      </c>
      <c r="H175" s="131">
        <f>L82</f>
        <v>3.3</v>
      </c>
      <c r="I175" s="125" t="s">
        <v>76</v>
      </c>
      <c r="J175" s="131">
        <f>L86</f>
        <v>6</v>
      </c>
      <c r="K175" s="125" t="s">
        <v>76</v>
      </c>
      <c r="L175" s="131">
        <f>L87</f>
        <v>17.7</v>
      </c>
      <c r="M175" s="126" t="s">
        <v>76</v>
      </c>
      <c r="N175" s="131">
        <f>L95</f>
        <v>6.5</v>
      </c>
      <c r="O175" s="126" t="s">
        <v>76</v>
      </c>
      <c r="P175" s="131">
        <f>L96</f>
        <v>3.5</v>
      </c>
      <c r="Q175" s="125" t="s">
        <v>76</v>
      </c>
      <c r="R175" s="131">
        <f>L97</f>
        <v>12.7</v>
      </c>
      <c r="S175" s="125" t="s">
        <v>76</v>
      </c>
      <c r="T175" s="131">
        <f>L94</f>
        <v>16.899999999999999</v>
      </c>
      <c r="U175" s="125"/>
      <c r="V175" s="125"/>
      <c r="W175" s="125"/>
      <c r="X175" s="125"/>
      <c r="Y175" s="125"/>
      <c r="Z175" s="125"/>
      <c r="AA175" s="125"/>
      <c r="AB175" s="125"/>
      <c r="AC175" s="125"/>
      <c r="AD175" s="125"/>
      <c r="AE175" s="125"/>
    </row>
    <row r="176" spans="1:31" s="12" customFormat="1" ht="14.25" customHeight="1">
      <c r="A176" s="125"/>
      <c r="B176" s="125"/>
      <c r="C176" s="126"/>
      <c r="D176" s="125" t="s">
        <v>76</v>
      </c>
      <c r="E176" s="131">
        <f>L104</f>
        <v>0.9</v>
      </c>
      <c r="F176" s="125" t="s">
        <v>186</v>
      </c>
      <c r="G176" s="125">
        <v>1.7</v>
      </c>
      <c r="H176" s="125"/>
      <c r="I176" s="125"/>
      <c r="J176" s="125"/>
      <c r="K176" s="125"/>
      <c r="L176" s="125"/>
      <c r="M176" s="126"/>
      <c r="N176" s="125"/>
      <c r="O176" s="126"/>
      <c r="P176" s="125"/>
      <c r="Q176" s="125"/>
      <c r="R176" s="125"/>
      <c r="S176" s="125"/>
      <c r="T176" s="125"/>
      <c r="U176" s="125"/>
      <c r="V176" s="125"/>
      <c r="W176" s="125"/>
      <c r="X176" s="125"/>
      <c r="Y176" s="125"/>
      <c r="Z176" s="125"/>
      <c r="AA176" s="125"/>
      <c r="AB176" s="125"/>
      <c r="AC176" s="125"/>
      <c r="AD176" s="125"/>
      <c r="AE176" s="125"/>
    </row>
    <row r="177" spans="1:31" s="12" customFormat="1" ht="14.25" hidden="1" customHeight="1">
      <c r="A177" s="125"/>
      <c r="B177" s="125"/>
      <c r="C177" s="126"/>
      <c r="D177" s="125"/>
      <c r="E177" s="125"/>
      <c r="F177" s="125"/>
      <c r="G177" s="125"/>
      <c r="H177" s="125"/>
      <c r="I177" s="125"/>
      <c r="J177" s="125"/>
      <c r="K177" s="125"/>
      <c r="L177" s="125"/>
      <c r="M177" s="126"/>
      <c r="N177" s="125"/>
      <c r="O177" s="126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  <c r="Z177" s="125"/>
      <c r="AA177" s="125"/>
      <c r="AB177" s="125"/>
      <c r="AC177" s="125"/>
      <c r="AD177" s="125"/>
      <c r="AE177" s="125"/>
    </row>
    <row r="178" spans="1:31" ht="14.25" customHeight="1">
      <c r="A178" s="123"/>
      <c r="B178" s="122"/>
      <c r="C178" s="127"/>
      <c r="D178" s="123"/>
      <c r="E178" s="123"/>
      <c r="F178" s="123"/>
      <c r="G178" s="123"/>
      <c r="H178" s="123"/>
      <c r="I178" s="123"/>
      <c r="J178" s="123"/>
      <c r="K178" s="128"/>
      <c r="L178" s="123"/>
      <c r="M178" s="122"/>
      <c r="N178" s="122"/>
      <c r="O178" s="127"/>
      <c r="P178" s="122"/>
      <c r="Q178" s="123"/>
      <c r="R178" s="123"/>
      <c r="S178" s="123"/>
      <c r="T178" s="123"/>
      <c r="U178" s="123"/>
      <c r="V178" s="123"/>
      <c r="W178" s="123"/>
      <c r="X178" s="123"/>
      <c r="Y178" s="123"/>
      <c r="Z178" s="123"/>
      <c r="AA178" s="123"/>
      <c r="AB178" s="123"/>
      <c r="AC178" s="123"/>
      <c r="AD178" s="123"/>
      <c r="AE178" s="123"/>
    </row>
    <row r="179" spans="1:31" ht="14.25" customHeight="1" thickBot="1">
      <c r="A179" s="123"/>
      <c r="B179" s="122"/>
      <c r="C179" s="123" t="s">
        <v>182</v>
      </c>
      <c r="D179" s="129">
        <f>ROUND(($D$175+$F$175+$H$175+$J$175+$L$175+$N$175+$P$175+$R$175+$T$175+$E$176)*$G$176,0)</f>
        <v>127</v>
      </c>
      <c r="E179" s="130" t="s">
        <v>183</v>
      </c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3"/>
      <c r="R179" s="123"/>
      <c r="S179" s="123"/>
      <c r="T179" s="123"/>
      <c r="U179" s="123"/>
      <c r="V179" s="123"/>
      <c r="W179" s="123"/>
      <c r="X179" s="123"/>
      <c r="Y179" s="123"/>
      <c r="Z179" s="123"/>
      <c r="AA179" s="123"/>
      <c r="AB179" s="123"/>
      <c r="AC179" s="123"/>
      <c r="AD179" s="123"/>
      <c r="AE179" s="123"/>
    </row>
    <row r="180" spans="1:31" ht="14.25" customHeight="1">
      <c r="A180" s="123"/>
      <c r="B180" s="123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  <c r="X180" s="123"/>
      <c r="Y180" s="123"/>
      <c r="Z180" s="123"/>
      <c r="AA180" s="123"/>
      <c r="AB180" s="123"/>
      <c r="AC180" s="123"/>
      <c r="AD180" s="123"/>
      <c r="AE180" s="123"/>
    </row>
    <row r="181" spans="1:31" ht="14.25" customHeight="1">
      <c r="A181" s="123"/>
      <c r="B181" s="122" t="s">
        <v>194</v>
      </c>
      <c r="C181" s="122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3"/>
      <c r="R181" s="123"/>
      <c r="S181" s="123"/>
      <c r="T181" s="123"/>
      <c r="U181" s="123"/>
      <c r="V181" s="123"/>
      <c r="W181" s="123"/>
      <c r="X181" s="123"/>
      <c r="Y181" s="123"/>
      <c r="Z181" s="123"/>
      <c r="AA181" s="123"/>
      <c r="AB181" s="123"/>
      <c r="AC181" s="123"/>
      <c r="AD181" s="123"/>
      <c r="AE181" s="123"/>
    </row>
    <row r="182" spans="1:31" ht="14.25" customHeight="1">
      <c r="A182" s="123"/>
      <c r="B182" s="123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123"/>
      <c r="U182" s="123"/>
      <c r="V182" s="123"/>
      <c r="W182" s="123"/>
      <c r="X182" s="123"/>
      <c r="Y182" s="123"/>
      <c r="Z182" s="123"/>
      <c r="AA182" s="123"/>
      <c r="AB182" s="123"/>
      <c r="AC182" s="123"/>
      <c r="AD182" s="123"/>
      <c r="AE182" s="123"/>
    </row>
    <row r="183" spans="1:31" ht="14.25" customHeight="1">
      <c r="A183" s="123"/>
      <c r="B183" s="123"/>
      <c r="C183" s="124" t="s">
        <v>22</v>
      </c>
      <c r="D183" s="123"/>
      <c r="E183" s="132">
        <f>L14</f>
        <v>1</v>
      </c>
      <c r="F183" s="124" t="s">
        <v>23</v>
      </c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23"/>
      <c r="U183" s="123"/>
      <c r="V183" s="123"/>
      <c r="W183" s="123"/>
      <c r="X183" s="123"/>
      <c r="Y183" s="123"/>
      <c r="Z183" s="123"/>
      <c r="AA183" s="123"/>
      <c r="AB183" s="123"/>
      <c r="AC183" s="123"/>
      <c r="AD183" s="123"/>
      <c r="AE183" s="123"/>
    </row>
    <row r="184" spans="1:31" ht="14.25" customHeight="1">
      <c r="A184" s="123"/>
      <c r="B184" s="123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  <c r="R184" s="123"/>
      <c r="S184" s="123"/>
      <c r="T184" s="123"/>
      <c r="U184" s="123"/>
      <c r="V184" s="123"/>
      <c r="W184" s="123"/>
      <c r="X184" s="123"/>
      <c r="Y184" s="123"/>
      <c r="Z184" s="123"/>
      <c r="AA184" s="123"/>
      <c r="AB184" s="123"/>
      <c r="AC184" s="123"/>
      <c r="AD184" s="123"/>
      <c r="AE184" s="123"/>
    </row>
    <row r="185" spans="1:31" s="4" customFormat="1" ht="14.25" customHeight="1">
      <c r="A185" s="124"/>
      <c r="B185" s="124"/>
      <c r="C185" s="75"/>
      <c r="D185" s="75"/>
      <c r="E185" s="80" t="s">
        <v>195</v>
      </c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  <c r="Q185" s="124"/>
      <c r="R185" s="124"/>
      <c r="S185" s="124"/>
      <c r="T185" s="124"/>
      <c r="U185" s="124"/>
      <c r="V185" s="124"/>
      <c r="W185" s="124"/>
      <c r="X185" s="124"/>
      <c r="Y185" s="124"/>
      <c r="Z185" s="124"/>
      <c r="AA185" s="124"/>
      <c r="AB185" s="124"/>
      <c r="AC185" s="124"/>
      <c r="AD185" s="124"/>
      <c r="AE185" s="124"/>
    </row>
    <row r="186" spans="1:31" s="4" customFormat="1" ht="14.25" customHeight="1">
      <c r="A186" s="124"/>
      <c r="B186" s="124"/>
      <c r="C186" s="75" t="s">
        <v>196</v>
      </c>
      <c r="D186" s="75"/>
      <c r="E186" s="133">
        <f>ROUND(N81+N88+L97+N89+L104+L86+L94+L95+N79*0.4,1)</f>
        <v>67.5</v>
      </c>
      <c r="F186" s="124"/>
      <c r="G186" s="124" t="s">
        <v>197</v>
      </c>
      <c r="H186" s="124"/>
      <c r="I186" s="124"/>
      <c r="J186" s="124"/>
      <c r="K186" s="124"/>
      <c r="L186" s="124"/>
      <c r="M186" s="124"/>
      <c r="N186" s="124"/>
      <c r="O186" s="124"/>
      <c r="P186" s="124"/>
      <c r="Q186" s="124"/>
      <c r="R186" s="124"/>
      <c r="S186" s="124"/>
      <c r="T186" s="124"/>
      <c r="U186" s="124"/>
      <c r="V186" s="124"/>
      <c r="W186" s="124"/>
      <c r="X186" s="124"/>
      <c r="Y186" s="124"/>
      <c r="Z186" s="124"/>
      <c r="AA186" s="124"/>
      <c r="AB186" s="124"/>
      <c r="AC186" s="124"/>
      <c r="AD186" s="124"/>
      <c r="AE186" s="124"/>
    </row>
    <row r="187" spans="1:31" s="4" customFormat="1" ht="14.25" customHeight="1">
      <c r="A187" s="124"/>
      <c r="B187" s="124"/>
      <c r="C187" s="75" t="s">
        <v>198</v>
      </c>
      <c r="D187" s="75"/>
      <c r="E187" s="133">
        <f>ROUND(N81+N88+L97+N89+L104+L86+L94+L95+N79*0.4,1)</f>
        <v>67.5</v>
      </c>
      <c r="F187" s="124"/>
      <c r="G187" s="124" t="s">
        <v>197</v>
      </c>
      <c r="H187" s="124"/>
      <c r="I187" s="124"/>
      <c r="J187" s="124"/>
      <c r="K187" s="124"/>
      <c r="L187" s="124"/>
      <c r="M187" s="124"/>
      <c r="N187" s="124"/>
      <c r="O187" s="124"/>
      <c r="P187" s="124"/>
      <c r="Q187" s="124"/>
      <c r="R187" s="124"/>
      <c r="S187" s="124"/>
      <c r="T187" s="124"/>
      <c r="U187" s="124"/>
      <c r="V187" s="124"/>
      <c r="W187" s="124"/>
      <c r="X187" s="124"/>
      <c r="Y187" s="124"/>
      <c r="Z187" s="124"/>
      <c r="AA187" s="124"/>
      <c r="AB187" s="124"/>
      <c r="AC187" s="124"/>
      <c r="AD187" s="124"/>
      <c r="AE187" s="124"/>
    </row>
    <row r="188" spans="1:31" s="4" customFormat="1" ht="14.25" customHeight="1">
      <c r="A188" s="124"/>
      <c r="B188" s="124"/>
      <c r="C188" s="75" t="s">
        <v>199</v>
      </c>
      <c r="D188" s="75"/>
      <c r="E188" s="133">
        <f>ROUND(N81*((D7-1)/(D7+1))+N88*((D7-1)/D7)+L97*((D7-1)/D7)+N89*((D7-1)/D7)+L104+L86*((D7-1)/D7)+L94*((D7-1)/D7)+L95*((D7-1)/D7)+N79*0.4,1)</f>
        <v>45.8</v>
      </c>
      <c r="F188" s="124"/>
      <c r="G188" s="124" t="s">
        <v>200</v>
      </c>
      <c r="H188" s="124"/>
      <c r="I188" s="124"/>
      <c r="J188" s="124"/>
      <c r="K188" s="124"/>
      <c r="L188" s="124"/>
      <c r="M188" s="124"/>
      <c r="N188" s="124"/>
      <c r="O188" s="124"/>
      <c r="P188" s="124"/>
      <c r="Q188" s="124"/>
      <c r="R188" s="124"/>
      <c r="S188" s="124"/>
      <c r="T188" s="124"/>
      <c r="U188" s="124"/>
      <c r="V188" s="124"/>
      <c r="W188" s="124"/>
      <c r="X188" s="124"/>
      <c r="Y188" s="124"/>
      <c r="Z188" s="124"/>
      <c r="AA188" s="124"/>
      <c r="AB188" s="124"/>
      <c r="AC188" s="124"/>
      <c r="AD188" s="124"/>
      <c r="AE188" s="124"/>
    </row>
    <row r="189" spans="1:31" s="4" customFormat="1" ht="14.25" customHeight="1">
      <c r="A189" s="124"/>
      <c r="B189" s="124"/>
      <c r="C189" s="75" t="s">
        <v>201</v>
      </c>
      <c r="D189" s="75"/>
      <c r="E189" s="133">
        <f>ROUND(N81*((D7-2)/(D7+1))+N88*((D7-2)/D7)+L97*((D7-2)/D7)+N89*((D7-2)/D7)+L104+L86*((D7-2)/D7)+L94*((D7-2)/D7)+L95*((D7-2)/D7)+N79*0.4,1)</f>
        <v>25.2</v>
      </c>
      <c r="F189" s="124"/>
      <c r="G189" s="124" t="s">
        <v>202</v>
      </c>
      <c r="H189" s="124"/>
      <c r="I189" s="124"/>
      <c r="J189" s="124"/>
      <c r="K189" s="124"/>
      <c r="L189" s="124"/>
      <c r="M189" s="124"/>
      <c r="N189" s="124"/>
      <c r="O189" s="124"/>
      <c r="P189" s="124"/>
      <c r="Q189" s="124"/>
      <c r="R189" s="124"/>
      <c r="S189" s="124"/>
      <c r="T189" s="124"/>
      <c r="U189" s="124"/>
      <c r="V189" s="124"/>
      <c r="W189" s="124"/>
      <c r="X189" s="124"/>
      <c r="Y189" s="124"/>
      <c r="Z189" s="124"/>
      <c r="AA189" s="124"/>
      <c r="AB189" s="124"/>
      <c r="AC189" s="124"/>
      <c r="AD189" s="124"/>
      <c r="AE189" s="124"/>
    </row>
    <row r="190" spans="1:31" s="4" customFormat="1" ht="14.25" hidden="1" customHeight="1">
      <c r="A190" s="124"/>
      <c r="B190" s="124"/>
      <c r="C190" s="75" t="s">
        <v>203</v>
      </c>
      <c r="D190" s="75"/>
      <c r="E190" s="133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  <c r="Q190" s="124"/>
      <c r="R190" s="124"/>
      <c r="S190" s="124"/>
      <c r="T190" s="124"/>
      <c r="U190" s="124"/>
      <c r="V190" s="124"/>
      <c r="W190" s="124"/>
      <c r="X190" s="124"/>
      <c r="Y190" s="124"/>
      <c r="Z190" s="124"/>
      <c r="AA190" s="124"/>
      <c r="AB190" s="124"/>
      <c r="AC190" s="124"/>
      <c r="AD190" s="124"/>
      <c r="AE190" s="124"/>
    </row>
    <row r="191" spans="1:31" s="4" customFormat="1" ht="14.25" hidden="1" customHeight="1">
      <c r="A191" s="124"/>
      <c r="B191" s="124"/>
      <c r="C191" s="75" t="s">
        <v>204</v>
      </c>
      <c r="D191" s="75"/>
      <c r="E191" s="133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  <c r="Q191" s="124"/>
      <c r="R191" s="124"/>
      <c r="S191" s="124"/>
      <c r="T191" s="124"/>
      <c r="U191" s="124"/>
      <c r="V191" s="124"/>
      <c r="W191" s="124"/>
      <c r="X191" s="124"/>
      <c r="Y191" s="124"/>
      <c r="Z191" s="124"/>
      <c r="AA191" s="124"/>
      <c r="AB191" s="124"/>
      <c r="AC191" s="124"/>
      <c r="AD191" s="124"/>
      <c r="AE191" s="124"/>
    </row>
    <row r="192" spans="1:31" s="4" customFormat="1" ht="14.25" hidden="1" customHeight="1">
      <c r="A192" s="124"/>
      <c r="B192" s="124"/>
      <c r="C192" s="75" t="s">
        <v>205</v>
      </c>
      <c r="D192" s="75"/>
      <c r="E192" s="133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  <c r="Q192" s="124"/>
      <c r="R192" s="124"/>
      <c r="S192" s="124"/>
      <c r="T192" s="124"/>
      <c r="U192" s="124"/>
      <c r="V192" s="124"/>
      <c r="W192" s="124"/>
      <c r="X192" s="124"/>
      <c r="Y192" s="124"/>
      <c r="Z192" s="124"/>
      <c r="AA192" s="124"/>
      <c r="AB192" s="124"/>
      <c r="AC192" s="124"/>
      <c r="AD192" s="124"/>
      <c r="AE192" s="124"/>
    </row>
    <row r="193" spans="1:31" s="4" customFormat="1" ht="14.25" hidden="1" customHeight="1">
      <c r="A193" s="124"/>
      <c r="B193" s="124"/>
      <c r="C193" s="75" t="s">
        <v>206</v>
      </c>
      <c r="D193" s="75"/>
      <c r="E193" s="133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  <c r="Q193" s="124"/>
      <c r="R193" s="124"/>
      <c r="S193" s="124"/>
      <c r="T193" s="124"/>
      <c r="U193" s="124"/>
      <c r="V193" s="124"/>
      <c r="W193" s="124"/>
      <c r="X193" s="124"/>
      <c r="Y193" s="124"/>
      <c r="Z193" s="124"/>
      <c r="AA193" s="124"/>
      <c r="AB193" s="124"/>
      <c r="AC193" s="124"/>
      <c r="AD193" s="124"/>
      <c r="AE193" s="124"/>
    </row>
    <row r="194" spans="1:31" s="4" customFormat="1" ht="14.25" hidden="1" customHeight="1">
      <c r="A194" s="124"/>
      <c r="B194" s="124"/>
      <c r="C194" s="75" t="s">
        <v>207</v>
      </c>
      <c r="D194" s="75"/>
      <c r="E194" s="133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  <c r="Q194" s="124"/>
      <c r="R194" s="124"/>
      <c r="S194" s="124"/>
      <c r="T194" s="124"/>
      <c r="U194" s="124"/>
      <c r="V194" s="124"/>
      <c r="W194" s="124"/>
      <c r="X194" s="124"/>
      <c r="Y194" s="124"/>
      <c r="Z194" s="124"/>
      <c r="AA194" s="124"/>
      <c r="AB194" s="124"/>
      <c r="AC194" s="124"/>
      <c r="AD194" s="124"/>
      <c r="AE194" s="124"/>
    </row>
    <row r="195" spans="1:31" s="4" customFormat="1" ht="14.25" hidden="1" customHeight="1">
      <c r="A195" s="124"/>
      <c r="B195" s="124"/>
      <c r="C195" s="75" t="s">
        <v>208</v>
      </c>
      <c r="D195" s="75"/>
      <c r="E195" s="133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  <c r="Q195" s="124"/>
      <c r="R195" s="124"/>
      <c r="S195" s="124"/>
      <c r="T195" s="124"/>
      <c r="U195" s="124"/>
      <c r="V195" s="124"/>
      <c r="W195" s="124"/>
      <c r="X195" s="124"/>
      <c r="Y195" s="124"/>
      <c r="Z195" s="124"/>
      <c r="AA195" s="124"/>
      <c r="AB195" s="124"/>
      <c r="AC195" s="124"/>
      <c r="AD195" s="124"/>
      <c r="AE195" s="124"/>
    </row>
    <row r="196" spans="1:31" s="4" customFormat="1" ht="14.25" hidden="1" customHeight="1">
      <c r="A196" s="124"/>
      <c r="B196" s="124"/>
      <c r="C196" s="134" t="s">
        <v>209</v>
      </c>
      <c r="D196" s="134"/>
      <c r="E196" s="135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  <c r="Q196" s="124"/>
      <c r="R196" s="124"/>
      <c r="S196" s="124"/>
      <c r="T196" s="124"/>
      <c r="U196" s="124"/>
      <c r="V196" s="124"/>
      <c r="W196" s="124"/>
      <c r="X196" s="124"/>
      <c r="Y196" s="124"/>
      <c r="Z196" s="124"/>
      <c r="AA196" s="124"/>
      <c r="AB196" s="124"/>
      <c r="AC196" s="124"/>
      <c r="AD196" s="124"/>
      <c r="AE196" s="124"/>
    </row>
    <row r="197" spans="1:31" s="4" customFormat="1" ht="14.25" customHeight="1">
      <c r="A197" s="124"/>
      <c r="B197" s="124"/>
      <c r="C197" s="83" t="s">
        <v>210</v>
      </c>
      <c r="D197" s="83"/>
      <c r="E197" s="136">
        <f>SUM(E186:E196)</f>
        <v>206</v>
      </c>
      <c r="F197" s="123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  <c r="Q197" s="124"/>
      <c r="R197" s="124"/>
      <c r="S197" s="124"/>
      <c r="T197" s="124"/>
      <c r="U197" s="124"/>
      <c r="V197" s="124"/>
      <c r="W197" s="124"/>
      <c r="X197" s="124"/>
      <c r="Y197" s="124"/>
      <c r="Z197" s="124"/>
      <c r="AA197" s="124"/>
      <c r="AB197" s="124"/>
      <c r="AC197" s="124"/>
      <c r="AD197" s="124"/>
      <c r="AE197" s="124"/>
    </row>
    <row r="198" spans="1:31" s="4" customFormat="1" ht="14.25" customHeight="1">
      <c r="A198" s="124"/>
      <c r="B198" s="124"/>
      <c r="C198" s="123"/>
      <c r="D198" s="123"/>
      <c r="E198" s="123"/>
      <c r="F198" s="123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  <c r="Q198" s="124"/>
      <c r="R198" s="124"/>
      <c r="S198" s="124"/>
      <c r="T198" s="124"/>
      <c r="U198" s="124"/>
      <c r="V198" s="124"/>
      <c r="W198" s="124"/>
      <c r="X198" s="124"/>
      <c r="Y198" s="124"/>
      <c r="Z198" s="124"/>
      <c r="AA198" s="124"/>
      <c r="AB198" s="124"/>
      <c r="AC198" s="124"/>
      <c r="AD198" s="124"/>
      <c r="AE198" s="124"/>
    </row>
    <row r="199" spans="1:31" s="4" customFormat="1" ht="14.25" customHeight="1" thickBot="1">
      <c r="A199" s="124"/>
      <c r="B199" s="124"/>
      <c r="C199" s="137">
        <f>E197</f>
        <v>206</v>
      </c>
      <c r="D199" s="123" t="s">
        <v>211</v>
      </c>
      <c r="E199" s="132">
        <f>E183</f>
        <v>1</v>
      </c>
      <c r="F199" s="9" t="s">
        <v>211</v>
      </c>
      <c r="G199" s="9">
        <v>1.7</v>
      </c>
      <c r="H199" s="123" t="s">
        <v>212</v>
      </c>
      <c r="I199" s="129">
        <f>ROUND(C199*E199*G199,0)</f>
        <v>350</v>
      </c>
      <c r="J199" s="130" t="s">
        <v>156</v>
      </c>
      <c r="K199" s="124"/>
      <c r="L199" s="124"/>
      <c r="M199" s="124"/>
      <c r="N199" s="124"/>
      <c r="O199" s="124"/>
      <c r="P199" s="124"/>
      <c r="Q199" s="124"/>
      <c r="R199" s="124"/>
      <c r="S199" s="124"/>
      <c r="T199" s="124"/>
      <c r="U199" s="124"/>
      <c r="V199" s="124"/>
      <c r="W199" s="124"/>
      <c r="X199" s="124"/>
      <c r="Y199" s="124"/>
      <c r="Z199" s="124"/>
      <c r="AA199" s="124"/>
      <c r="AB199" s="124"/>
      <c r="AC199" s="124"/>
      <c r="AD199" s="124"/>
      <c r="AE199" s="124"/>
    </row>
    <row r="200" spans="1:31" s="4" customFormat="1" ht="14.25" customHeight="1">
      <c r="A200" s="124"/>
      <c r="B200" s="124"/>
      <c r="C200" s="123"/>
      <c r="D200" s="123"/>
      <c r="E200" s="123"/>
      <c r="F200" s="123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  <c r="Q200" s="124"/>
      <c r="R200" s="124"/>
      <c r="S200" s="124"/>
      <c r="T200" s="124"/>
      <c r="U200" s="124"/>
      <c r="V200" s="124"/>
      <c r="W200" s="124"/>
      <c r="X200" s="124"/>
      <c r="Y200" s="124"/>
      <c r="Z200" s="124"/>
      <c r="AA200" s="124"/>
      <c r="AB200" s="124"/>
      <c r="AC200" s="124"/>
      <c r="AD200" s="124"/>
      <c r="AE200" s="124"/>
    </row>
    <row r="201" spans="1:31" ht="14.25" customHeight="1">
      <c r="A201" s="123"/>
      <c r="B201" s="122" t="s">
        <v>213</v>
      </c>
      <c r="C201" s="122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3"/>
      <c r="R201" s="123"/>
      <c r="S201" s="123"/>
      <c r="T201" s="123"/>
      <c r="U201" s="123"/>
      <c r="V201" s="123"/>
      <c r="W201" s="123"/>
      <c r="X201" s="123"/>
      <c r="Y201" s="123"/>
      <c r="Z201" s="123"/>
      <c r="AA201" s="123"/>
      <c r="AB201" s="123"/>
      <c r="AC201" s="123"/>
      <c r="AD201" s="123"/>
      <c r="AE201" s="123"/>
    </row>
    <row r="202" spans="1:31" ht="14.25" customHeight="1">
      <c r="A202" s="123"/>
      <c r="B202" s="122"/>
      <c r="C202" s="122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3"/>
      <c r="R202" s="123"/>
      <c r="S202" s="123"/>
      <c r="T202" s="123"/>
      <c r="U202" s="123"/>
      <c r="V202" s="123"/>
      <c r="W202" s="123"/>
      <c r="X202" s="123"/>
      <c r="Y202" s="123"/>
      <c r="Z202" s="123"/>
      <c r="AA202" s="123"/>
      <c r="AB202" s="123"/>
      <c r="AC202" s="123"/>
      <c r="AD202" s="123"/>
      <c r="AE202" s="123"/>
    </row>
    <row r="203" spans="1:31" ht="14.25" hidden="1" customHeight="1">
      <c r="A203" s="123"/>
      <c r="B203" s="122" t="s">
        <v>214</v>
      </c>
      <c r="C203" s="122"/>
      <c r="D203" s="122"/>
      <c r="E203" s="138" t="s">
        <v>215</v>
      </c>
      <c r="F203" s="138"/>
      <c r="G203" s="138"/>
      <c r="H203" s="138"/>
      <c r="I203" s="138"/>
      <c r="J203" s="138"/>
      <c r="K203" s="138"/>
      <c r="L203" s="132"/>
      <c r="M203" s="123" t="s">
        <v>216</v>
      </c>
      <c r="N203" s="132">
        <f>L14</f>
        <v>1</v>
      </c>
      <c r="O203" s="123" t="s">
        <v>173</v>
      </c>
      <c r="P203" s="139">
        <f>L203/N203</f>
        <v>0</v>
      </c>
      <c r="Q203" s="122" t="s">
        <v>217</v>
      </c>
      <c r="R203" s="123"/>
      <c r="S203" s="123"/>
      <c r="T203" s="123"/>
      <c r="U203" s="123"/>
      <c r="V203" s="123"/>
      <c r="W203" s="123"/>
      <c r="X203" s="123"/>
      <c r="Y203" s="123"/>
      <c r="Z203" s="123"/>
      <c r="AA203" s="123"/>
      <c r="AB203" s="123"/>
      <c r="AC203" s="123"/>
      <c r="AD203" s="123"/>
      <c r="AE203" s="123"/>
    </row>
    <row r="204" spans="1:31" ht="14.25" hidden="1" customHeight="1">
      <c r="A204" s="123"/>
      <c r="B204" s="123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/>
      <c r="W204" s="123"/>
      <c r="X204" s="123"/>
      <c r="Y204" s="123"/>
      <c r="Z204" s="123"/>
      <c r="AA204" s="123"/>
      <c r="AB204" s="123"/>
      <c r="AC204" s="123"/>
      <c r="AD204" s="123"/>
      <c r="AE204" s="123"/>
    </row>
    <row r="205" spans="1:31" s="4" customFormat="1" ht="14.25" hidden="1" customHeight="1">
      <c r="A205" s="124"/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  <c r="Q205" s="124"/>
      <c r="R205" s="124"/>
      <c r="S205" s="124"/>
      <c r="T205" s="124"/>
      <c r="U205" s="124"/>
      <c r="V205" s="124"/>
      <c r="W205" s="124"/>
      <c r="X205" s="124"/>
      <c r="Y205" s="124"/>
      <c r="Z205" s="124"/>
      <c r="AA205" s="124"/>
      <c r="AB205" s="124"/>
      <c r="AC205" s="124"/>
      <c r="AD205" s="124"/>
      <c r="AE205" s="124"/>
    </row>
    <row r="206" spans="1:31" ht="14.25" hidden="1" customHeight="1">
      <c r="A206" s="123"/>
      <c r="B206" s="122"/>
      <c r="C206" s="122"/>
      <c r="D206" s="123"/>
      <c r="E206" s="123"/>
      <c r="F206" s="123"/>
      <c r="G206" s="123"/>
      <c r="H206" s="123"/>
      <c r="I206" s="123"/>
      <c r="J206" s="123"/>
      <c r="K206" s="123"/>
      <c r="L206" s="123"/>
      <c r="M206" s="122"/>
      <c r="N206" s="122"/>
      <c r="O206" s="122"/>
      <c r="P206" s="122"/>
      <c r="Q206" s="123"/>
      <c r="R206" s="123"/>
      <c r="S206" s="123"/>
      <c r="T206" s="123"/>
      <c r="U206" s="123"/>
      <c r="V206" s="123"/>
      <c r="W206" s="123"/>
      <c r="X206" s="123"/>
      <c r="Y206" s="123"/>
      <c r="Z206" s="123"/>
      <c r="AA206" s="123"/>
      <c r="AB206" s="123"/>
      <c r="AC206" s="123"/>
      <c r="AD206" s="123"/>
      <c r="AE206" s="123"/>
    </row>
    <row r="207" spans="1:31" s="12" customFormat="1" ht="14.25" hidden="1" customHeight="1">
      <c r="A207" s="125"/>
      <c r="B207" s="125"/>
      <c r="C207" s="126" t="s">
        <v>181</v>
      </c>
      <c r="D207" s="125"/>
      <c r="E207" s="125"/>
      <c r="F207" s="125"/>
      <c r="G207" s="125"/>
      <c r="H207" s="125"/>
      <c r="I207" s="125"/>
      <c r="J207" s="125"/>
      <c r="K207" s="125"/>
      <c r="L207" s="125"/>
      <c r="M207" s="126"/>
      <c r="N207" s="125"/>
      <c r="O207" s="126"/>
      <c r="P207" s="125"/>
      <c r="Q207" s="125"/>
      <c r="R207" s="125"/>
      <c r="S207" s="125"/>
      <c r="T207" s="125"/>
      <c r="U207" s="125"/>
      <c r="V207" s="125"/>
      <c r="W207" s="125"/>
      <c r="X207" s="125"/>
      <c r="Y207" s="125"/>
      <c r="Z207" s="125"/>
      <c r="AA207" s="125"/>
      <c r="AB207" s="125"/>
      <c r="AC207" s="125"/>
      <c r="AD207" s="125"/>
      <c r="AE207" s="125"/>
    </row>
    <row r="208" spans="1:31" s="12" customFormat="1" ht="14.25" hidden="1" customHeight="1">
      <c r="A208" s="125"/>
      <c r="B208" s="125"/>
      <c r="C208" s="126"/>
      <c r="D208" s="125"/>
      <c r="E208" s="125"/>
      <c r="F208" s="125"/>
      <c r="G208" s="125"/>
      <c r="H208" s="125"/>
      <c r="I208" s="125"/>
      <c r="J208" s="125"/>
      <c r="K208" s="125"/>
      <c r="L208" s="125"/>
      <c r="M208" s="126"/>
      <c r="N208" s="125"/>
      <c r="O208" s="126"/>
      <c r="P208" s="125"/>
      <c r="Q208" s="125"/>
      <c r="R208" s="125"/>
      <c r="S208" s="125"/>
      <c r="T208" s="125"/>
      <c r="U208" s="125"/>
      <c r="V208" s="125"/>
      <c r="W208" s="125"/>
      <c r="X208" s="125"/>
      <c r="Y208" s="125"/>
      <c r="Z208" s="125"/>
      <c r="AA208" s="125"/>
      <c r="AB208" s="125"/>
      <c r="AC208" s="125"/>
      <c r="AD208" s="125"/>
      <c r="AE208" s="125"/>
    </row>
    <row r="209" spans="1:31" s="12" customFormat="1" ht="14.25" hidden="1" customHeight="1">
      <c r="A209" s="125"/>
      <c r="B209" s="125"/>
      <c r="C209" s="126"/>
      <c r="D209" s="125"/>
      <c r="E209" s="125"/>
      <c r="F209" s="125"/>
      <c r="G209" s="125"/>
      <c r="H209" s="125"/>
      <c r="I209" s="125"/>
      <c r="J209" s="125"/>
      <c r="K209" s="125"/>
      <c r="L209" s="125"/>
      <c r="M209" s="126"/>
      <c r="N209" s="125"/>
      <c r="O209" s="126"/>
      <c r="P209" s="125"/>
      <c r="Q209" s="125"/>
      <c r="R209" s="125"/>
      <c r="S209" s="125"/>
      <c r="T209" s="125"/>
      <c r="U209" s="125"/>
      <c r="V209" s="125"/>
      <c r="W209" s="125"/>
      <c r="X209" s="125"/>
      <c r="Y209" s="125"/>
      <c r="Z209" s="125"/>
      <c r="AA209" s="125"/>
      <c r="AB209" s="125"/>
      <c r="AC209" s="125"/>
      <c r="AD209" s="125"/>
      <c r="AE209" s="125"/>
    </row>
    <row r="210" spans="1:31" ht="14.25" hidden="1" customHeight="1">
      <c r="A210" s="123"/>
      <c r="B210" s="122"/>
      <c r="C210" s="127"/>
      <c r="D210" s="123"/>
      <c r="E210" s="123"/>
      <c r="F210" s="123"/>
      <c r="G210" s="123"/>
      <c r="H210" s="123"/>
      <c r="I210" s="123"/>
      <c r="J210" s="123"/>
      <c r="K210" s="128"/>
      <c r="L210" s="123"/>
      <c r="M210" s="122"/>
      <c r="N210" s="122"/>
      <c r="O210" s="127"/>
      <c r="P210" s="122"/>
      <c r="Q210" s="123"/>
      <c r="R210" s="123"/>
      <c r="S210" s="123"/>
      <c r="T210" s="123"/>
      <c r="U210" s="123"/>
      <c r="V210" s="123"/>
      <c r="W210" s="123"/>
      <c r="X210" s="123"/>
      <c r="Y210" s="123"/>
      <c r="Z210" s="123"/>
      <c r="AA210" s="123"/>
      <c r="AB210" s="123"/>
      <c r="AC210" s="123"/>
      <c r="AD210" s="123"/>
      <c r="AE210" s="123"/>
    </row>
    <row r="211" spans="1:31" ht="14.25" hidden="1" customHeight="1">
      <c r="A211" s="123"/>
      <c r="B211" s="122"/>
      <c r="C211" s="123" t="s">
        <v>182</v>
      </c>
      <c r="D211" s="129"/>
      <c r="E211" s="130" t="s">
        <v>183</v>
      </c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3"/>
      <c r="R211" s="123"/>
      <c r="S211" s="123"/>
      <c r="T211" s="123"/>
      <c r="U211" s="123"/>
      <c r="V211" s="123"/>
      <c r="W211" s="123"/>
      <c r="X211" s="123"/>
      <c r="Y211" s="123"/>
      <c r="Z211" s="123"/>
      <c r="AA211" s="123"/>
      <c r="AB211" s="123"/>
      <c r="AC211" s="123"/>
      <c r="AD211" s="123"/>
      <c r="AE211" s="123"/>
    </row>
    <row r="212" spans="1:31" ht="14.25" hidden="1" customHeight="1">
      <c r="A212" s="123"/>
      <c r="B212" s="123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  <c r="S212" s="123"/>
      <c r="T212" s="123"/>
      <c r="U212" s="123"/>
      <c r="V212" s="123"/>
      <c r="W212" s="123"/>
      <c r="X212" s="123"/>
      <c r="Y212" s="123"/>
      <c r="Z212" s="123"/>
      <c r="AA212" s="123"/>
      <c r="AB212" s="123"/>
      <c r="AC212" s="123"/>
      <c r="AD212" s="123"/>
      <c r="AE212" s="123"/>
    </row>
    <row r="213" spans="1:31" ht="14.25" hidden="1" customHeight="1">
      <c r="A213" s="123"/>
      <c r="B213" s="122" t="s">
        <v>218</v>
      </c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3"/>
      <c r="R213" s="123"/>
      <c r="S213" s="123"/>
      <c r="T213" s="123"/>
      <c r="U213" s="123"/>
      <c r="V213" s="123"/>
      <c r="W213" s="123"/>
      <c r="X213" s="123"/>
      <c r="Y213" s="123"/>
      <c r="Z213" s="123"/>
      <c r="AA213" s="123"/>
      <c r="AB213" s="123"/>
      <c r="AC213" s="123"/>
      <c r="AD213" s="123"/>
      <c r="AE213" s="123"/>
    </row>
    <row r="214" spans="1:31" ht="14.25" hidden="1" customHeight="1">
      <c r="A214" s="123"/>
      <c r="B214" s="123"/>
      <c r="C214" s="123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  <c r="R214" s="123"/>
      <c r="S214" s="123"/>
      <c r="T214" s="123"/>
      <c r="U214" s="123"/>
      <c r="V214" s="123"/>
      <c r="W214" s="123"/>
      <c r="X214" s="123"/>
      <c r="Y214" s="123"/>
      <c r="Z214" s="123"/>
      <c r="AA214" s="123"/>
      <c r="AB214" s="123"/>
      <c r="AC214" s="123"/>
      <c r="AD214" s="123"/>
      <c r="AE214" s="123"/>
    </row>
    <row r="215" spans="1:31" s="4" customFormat="1" ht="14.25" customHeight="1">
      <c r="A215" s="124"/>
      <c r="B215" s="124"/>
      <c r="C215" s="124" t="s">
        <v>219</v>
      </c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  <c r="Q215" s="124"/>
      <c r="R215" s="124"/>
      <c r="S215" s="124"/>
      <c r="T215" s="124"/>
      <c r="U215" s="124"/>
      <c r="V215" s="124"/>
      <c r="W215" s="124"/>
      <c r="X215" s="124"/>
      <c r="Y215" s="124"/>
      <c r="Z215" s="124"/>
      <c r="AA215" s="124"/>
      <c r="AB215" s="124"/>
      <c r="AC215" s="124"/>
      <c r="AD215" s="124"/>
      <c r="AE215" s="124"/>
    </row>
    <row r="216" spans="1:31" ht="14.25" customHeight="1">
      <c r="A216" s="123"/>
      <c r="B216" s="122"/>
      <c r="C216" s="122"/>
      <c r="D216" s="123"/>
      <c r="E216" s="123"/>
      <c r="F216" s="123"/>
      <c r="G216" s="123"/>
      <c r="H216" s="123"/>
      <c r="I216" s="123"/>
      <c r="J216" s="123"/>
      <c r="K216" s="123"/>
      <c r="L216" s="123"/>
      <c r="M216" s="122"/>
      <c r="N216" s="122"/>
      <c r="O216" s="122"/>
      <c r="P216" s="122"/>
      <c r="Q216" s="123"/>
      <c r="R216" s="123"/>
      <c r="S216" s="123"/>
      <c r="T216" s="123"/>
      <c r="U216" s="123"/>
      <c r="V216" s="123"/>
      <c r="W216" s="123"/>
      <c r="X216" s="123"/>
      <c r="Y216" s="123"/>
      <c r="Z216" s="123"/>
      <c r="AA216" s="123"/>
      <c r="AB216" s="123"/>
      <c r="AC216" s="123"/>
      <c r="AD216" s="123"/>
      <c r="AE216" s="123"/>
    </row>
    <row r="217" spans="1:31" s="12" customFormat="1" ht="14.25" customHeight="1">
      <c r="A217" s="125"/>
      <c r="B217" s="125"/>
      <c r="C217" s="126" t="s">
        <v>181</v>
      </c>
      <c r="D217" s="131">
        <f>N81</f>
        <v>4.4000000000000004</v>
      </c>
      <c r="E217" s="125" t="s">
        <v>76</v>
      </c>
      <c r="F217" s="131">
        <f>N84</f>
        <v>3.3</v>
      </c>
      <c r="G217" s="125" t="s">
        <v>76</v>
      </c>
      <c r="H217" s="131">
        <f>L86</f>
        <v>6</v>
      </c>
      <c r="I217" s="125" t="s">
        <v>76</v>
      </c>
      <c r="J217" s="131">
        <f>L87</f>
        <v>17.7</v>
      </c>
      <c r="K217" s="125" t="s">
        <v>76</v>
      </c>
      <c r="L217" s="131">
        <f>L95</f>
        <v>6.5</v>
      </c>
      <c r="M217" s="126" t="s">
        <v>76</v>
      </c>
      <c r="N217" s="131">
        <f>L97</f>
        <v>12.7</v>
      </c>
      <c r="O217" s="126" t="s">
        <v>76</v>
      </c>
      <c r="P217" s="131">
        <f>L94</f>
        <v>16.899999999999999</v>
      </c>
      <c r="Q217" s="125" t="s">
        <v>76</v>
      </c>
      <c r="R217" s="131">
        <f>L104</f>
        <v>0.9</v>
      </c>
      <c r="S217" s="125" t="s">
        <v>186</v>
      </c>
      <c r="T217" s="125">
        <v>1.7</v>
      </c>
      <c r="U217" s="125"/>
      <c r="V217" s="125"/>
      <c r="W217" s="125"/>
      <c r="X217" s="125"/>
      <c r="Y217" s="125"/>
      <c r="Z217" s="125"/>
      <c r="AA217" s="125"/>
      <c r="AB217" s="125"/>
      <c r="AC217" s="125"/>
      <c r="AD217" s="125"/>
      <c r="AE217" s="125"/>
    </row>
    <row r="218" spans="1:31" s="12" customFormat="1" ht="14.25" hidden="1" customHeight="1">
      <c r="A218" s="125"/>
      <c r="B218" s="125"/>
      <c r="C218" s="126"/>
      <c r="D218" s="125"/>
      <c r="E218" s="125"/>
      <c r="F218" s="125"/>
      <c r="G218" s="125"/>
      <c r="H218" s="125"/>
      <c r="I218" s="125"/>
      <c r="J218" s="125"/>
      <c r="K218" s="125"/>
      <c r="L218" s="125"/>
      <c r="M218" s="126"/>
      <c r="N218" s="125"/>
      <c r="O218" s="126"/>
      <c r="P218" s="125"/>
      <c r="Q218" s="125"/>
      <c r="R218" s="125"/>
      <c r="S218" s="125"/>
      <c r="T218" s="125"/>
      <c r="U218" s="125"/>
      <c r="V218" s="125"/>
      <c r="W218" s="125"/>
      <c r="X218" s="125"/>
      <c r="Y218" s="125"/>
      <c r="Z218" s="125"/>
      <c r="AA218" s="125"/>
      <c r="AB218" s="125"/>
      <c r="AC218" s="125"/>
      <c r="AD218" s="125"/>
      <c r="AE218" s="125"/>
    </row>
    <row r="219" spans="1:31" s="12" customFormat="1" ht="14.25" hidden="1" customHeight="1">
      <c r="A219" s="125"/>
      <c r="B219" s="125"/>
      <c r="C219" s="126"/>
      <c r="D219" s="125"/>
      <c r="E219" s="125"/>
      <c r="F219" s="125"/>
      <c r="G219" s="125"/>
      <c r="H219" s="125"/>
      <c r="I219" s="125"/>
      <c r="J219" s="125"/>
      <c r="K219" s="125"/>
      <c r="L219" s="125"/>
      <c r="M219" s="126"/>
      <c r="N219" s="125"/>
      <c r="O219" s="126"/>
      <c r="P219" s="125"/>
      <c r="Q219" s="125"/>
      <c r="R219" s="125"/>
      <c r="S219" s="125"/>
      <c r="T219" s="125"/>
      <c r="U219" s="125"/>
      <c r="V219" s="125"/>
      <c r="W219" s="125"/>
      <c r="X219" s="125"/>
      <c r="Y219" s="125"/>
      <c r="Z219" s="125"/>
      <c r="AA219" s="125"/>
      <c r="AB219" s="125"/>
      <c r="AC219" s="125"/>
      <c r="AD219" s="125"/>
      <c r="AE219" s="125"/>
    </row>
    <row r="220" spans="1:31" ht="14.25" customHeight="1">
      <c r="A220" s="123"/>
      <c r="B220" s="122"/>
      <c r="C220" s="127"/>
      <c r="D220" s="123"/>
      <c r="E220" s="123"/>
      <c r="F220" s="123"/>
      <c r="G220" s="123"/>
      <c r="H220" s="123"/>
      <c r="I220" s="123"/>
      <c r="J220" s="123"/>
      <c r="K220" s="128"/>
      <c r="L220" s="123"/>
      <c r="M220" s="122"/>
      <c r="N220" s="122"/>
      <c r="O220" s="127"/>
      <c r="P220" s="122"/>
      <c r="Q220" s="123"/>
      <c r="R220" s="123"/>
      <c r="S220" s="123"/>
      <c r="T220" s="123"/>
      <c r="U220" s="123"/>
      <c r="V220" s="123"/>
      <c r="W220" s="123"/>
      <c r="X220" s="123"/>
      <c r="Y220" s="123"/>
      <c r="Z220" s="123"/>
      <c r="AA220" s="123"/>
      <c r="AB220" s="123"/>
      <c r="AC220" s="123"/>
      <c r="AD220" s="123"/>
      <c r="AE220" s="123"/>
    </row>
    <row r="221" spans="1:31" ht="14.25" customHeight="1" thickBot="1">
      <c r="A221" s="123"/>
      <c r="B221" s="122"/>
      <c r="C221" s="123" t="s">
        <v>182</v>
      </c>
      <c r="D221" s="129">
        <f>ROUND(($D$217+$F$217+$H$217+$J$217+$L$217+$N$217+$P$217+$R$217)*$T$217,0)</f>
        <v>116</v>
      </c>
      <c r="E221" s="130" t="s">
        <v>183</v>
      </c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3"/>
      <c r="R221" s="123"/>
      <c r="S221" s="123"/>
      <c r="T221" s="123"/>
      <c r="U221" s="123"/>
      <c r="V221" s="123"/>
      <c r="W221" s="123"/>
      <c r="X221" s="123"/>
      <c r="Y221" s="123"/>
      <c r="Z221" s="123"/>
      <c r="AA221" s="123"/>
      <c r="AB221" s="123"/>
      <c r="AC221" s="123"/>
      <c r="AD221" s="123"/>
      <c r="AE221" s="123"/>
    </row>
    <row r="222" spans="1:31" ht="14.25" customHeight="1">
      <c r="A222" s="123"/>
      <c r="B222" s="123"/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  <c r="R222" s="123"/>
      <c r="S222" s="123"/>
      <c r="T222" s="123"/>
      <c r="U222" s="123"/>
      <c r="V222" s="123"/>
      <c r="W222" s="123"/>
      <c r="X222" s="123"/>
      <c r="Y222" s="123"/>
      <c r="Z222" s="123"/>
      <c r="AA222" s="123"/>
      <c r="AB222" s="123"/>
      <c r="AC222" s="123"/>
      <c r="AD222" s="123"/>
      <c r="AE222" s="123"/>
    </row>
    <row r="223" spans="1:31" ht="14.25" customHeight="1">
      <c r="A223" s="123"/>
      <c r="B223" s="122" t="s">
        <v>220</v>
      </c>
      <c r="C223" s="122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3"/>
      <c r="R223" s="123"/>
      <c r="S223" s="123"/>
      <c r="T223" s="123"/>
      <c r="U223" s="123"/>
      <c r="V223" s="123"/>
      <c r="W223" s="123"/>
      <c r="X223" s="123"/>
      <c r="Y223" s="123"/>
      <c r="Z223" s="123"/>
      <c r="AA223" s="123"/>
      <c r="AB223" s="123"/>
      <c r="AC223" s="123"/>
      <c r="AD223" s="123"/>
      <c r="AE223" s="123"/>
    </row>
    <row r="224" spans="1:31" ht="14.25" customHeight="1">
      <c r="A224" s="123"/>
      <c r="B224" s="123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  <c r="R224" s="123"/>
      <c r="S224" s="123"/>
      <c r="T224" s="123"/>
      <c r="U224" s="123"/>
      <c r="V224" s="123"/>
      <c r="W224" s="123"/>
      <c r="X224" s="123"/>
      <c r="Y224" s="123"/>
      <c r="Z224" s="123"/>
      <c r="AA224" s="123"/>
      <c r="AB224" s="123"/>
      <c r="AC224" s="123"/>
      <c r="AD224" s="123"/>
      <c r="AE224" s="123"/>
    </row>
    <row r="225" spans="1:31" s="4" customFormat="1" ht="14.25" customHeight="1">
      <c r="A225" s="124"/>
      <c r="B225" s="124"/>
      <c r="C225" s="124" t="s">
        <v>221</v>
      </c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124"/>
      <c r="Q225" s="124"/>
      <c r="R225" s="124"/>
      <c r="S225" s="124"/>
      <c r="T225" s="124"/>
      <c r="U225" s="124"/>
      <c r="V225" s="124"/>
      <c r="W225" s="124"/>
      <c r="X225" s="124"/>
      <c r="Y225" s="124"/>
      <c r="Z225" s="124"/>
      <c r="AA225" s="124"/>
      <c r="AB225" s="124"/>
      <c r="AC225" s="124"/>
      <c r="AD225" s="124"/>
      <c r="AE225" s="124"/>
    </row>
    <row r="226" spans="1:31" ht="14.25" customHeight="1">
      <c r="A226" s="123"/>
      <c r="B226" s="122"/>
      <c r="C226" s="122"/>
      <c r="D226" s="123"/>
      <c r="E226" s="123"/>
      <c r="F226" s="123"/>
      <c r="G226" s="123"/>
      <c r="H226" s="123"/>
      <c r="I226" s="123"/>
      <c r="J226" s="123"/>
      <c r="K226" s="123"/>
      <c r="L226" s="123"/>
      <c r="M226" s="122"/>
      <c r="N226" s="122"/>
      <c r="O226" s="122"/>
      <c r="P226" s="122"/>
      <c r="Q226" s="123"/>
      <c r="R226" s="123"/>
      <c r="S226" s="123"/>
      <c r="T226" s="123"/>
      <c r="U226" s="123"/>
      <c r="V226" s="123"/>
      <c r="W226" s="123"/>
      <c r="X226" s="123"/>
      <c r="Y226" s="123"/>
      <c r="Z226" s="123"/>
      <c r="AA226" s="123"/>
      <c r="AB226" s="123"/>
      <c r="AC226" s="123"/>
      <c r="AD226" s="123"/>
      <c r="AE226" s="123"/>
    </row>
    <row r="227" spans="1:31" s="12" customFormat="1" ht="14.25" customHeight="1">
      <c r="A227" s="125"/>
      <c r="B227" s="125"/>
      <c r="C227" s="126" t="s">
        <v>181</v>
      </c>
      <c r="D227" s="131">
        <f>L78</f>
        <v>16.2</v>
      </c>
      <c r="E227" s="125" t="s">
        <v>76</v>
      </c>
      <c r="F227" s="131">
        <f>L82</f>
        <v>3.3</v>
      </c>
      <c r="G227" s="125" t="s">
        <v>76</v>
      </c>
      <c r="H227" s="131">
        <f>L85</f>
        <v>11.7</v>
      </c>
      <c r="I227" s="125" t="s">
        <v>76</v>
      </c>
      <c r="J227" s="131">
        <f>L86</f>
        <v>6</v>
      </c>
      <c r="K227" s="125" t="s">
        <v>76</v>
      </c>
      <c r="L227" s="131">
        <f>L87</f>
        <v>17.7</v>
      </c>
      <c r="M227" s="126" t="s">
        <v>76</v>
      </c>
      <c r="N227" s="131">
        <f>L95</f>
        <v>6.5</v>
      </c>
      <c r="O227" s="126" t="s">
        <v>76</v>
      </c>
      <c r="P227" s="131">
        <f>L96</f>
        <v>3.5</v>
      </c>
      <c r="Q227" s="125" t="s">
        <v>76</v>
      </c>
      <c r="R227" s="131">
        <f>L97</f>
        <v>12.7</v>
      </c>
      <c r="S227" s="125" t="s">
        <v>76</v>
      </c>
      <c r="T227" s="131">
        <f>L94</f>
        <v>16.899999999999999</v>
      </c>
      <c r="U227" s="125"/>
      <c r="V227" s="125"/>
      <c r="W227" s="125"/>
      <c r="X227" s="125"/>
      <c r="Y227" s="125"/>
      <c r="Z227" s="125"/>
      <c r="AA227" s="125"/>
      <c r="AB227" s="125"/>
      <c r="AC227" s="125"/>
      <c r="AD227" s="125"/>
      <c r="AE227" s="125"/>
    </row>
    <row r="228" spans="1:31" s="12" customFormat="1" ht="14.25" customHeight="1">
      <c r="A228" s="125"/>
      <c r="B228" s="125"/>
      <c r="C228" s="126"/>
      <c r="D228" s="125" t="s">
        <v>76</v>
      </c>
      <c r="E228" s="131">
        <f>L104</f>
        <v>0.9</v>
      </c>
      <c r="F228" s="125" t="s">
        <v>186</v>
      </c>
      <c r="G228" s="125">
        <v>1.7</v>
      </c>
      <c r="H228" s="125"/>
      <c r="I228" s="125"/>
      <c r="J228" s="125"/>
      <c r="K228" s="125"/>
      <c r="L228" s="125"/>
      <c r="M228" s="126"/>
      <c r="N228" s="125"/>
      <c r="O228" s="126"/>
      <c r="P228" s="125"/>
      <c r="Q228" s="125"/>
      <c r="R228" s="125"/>
      <c r="S228" s="125"/>
      <c r="T228" s="125"/>
      <c r="U228" s="125"/>
      <c r="V228" s="125"/>
      <c r="W228" s="125"/>
      <c r="X228" s="125"/>
      <c r="Y228" s="125"/>
      <c r="Z228" s="125"/>
      <c r="AA228" s="125"/>
      <c r="AB228" s="125"/>
      <c r="AC228" s="125"/>
      <c r="AD228" s="125"/>
      <c r="AE228" s="125"/>
    </row>
    <row r="229" spans="1:31" s="12" customFormat="1" ht="14.25" hidden="1" customHeight="1">
      <c r="A229" s="125"/>
      <c r="B229" s="125"/>
      <c r="C229" s="126"/>
      <c r="D229" s="125"/>
      <c r="E229" s="125"/>
      <c r="F229" s="125"/>
      <c r="G229" s="125"/>
      <c r="H229" s="125"/>
      <c r="I229" s="125"/>
      <c r="J229" s="125"/>
      <c r="K229" s="125"/>
      <c r="L229" s="125"/>
      <c r="M229" s="126"/>
      <c r="N229" s="125"/>
      <c r="O229" s="126"/>
      <c r="P229" s="125"/>
      <c r="Q229" s="125"/>
      <c r="R229" s="125"/>
      <c r="S229" s="125"/>
      <c r="T229" s="125"/>
      <c r="U229" s="125"/>
      <c r="V229" s="125"/>
      <c r="W229" s="125"/>
      <c r="X229" s="125"/>
      <c r="Y229" s="125"/>
      <c r="Z229" s="125"/>
      <c r="AA229" s="125"/>
      <c r="AB229" s="125"/>
      <c r="AC229" s="125"/>
      <c r="AD229" s="125"/>
      <c r="AE229" s="125"/>
    </row>
    <row r="230" spans="1:31" ht="14.25" customHeight="1">
      <c r="A230" s="123"/>
      <c r="B230" s="122"/>
      <c r="C230" s="127"/>
      <c r="D230" s="123"/>
      <c r="E230" s="123"/>
      <c r="F230" s="123"/>
      <c r="G230" s="123"/>
      <c r="H230" s="123"/>
      <c r="I230" s="123"/>
      <c r="J230" s="123"/>
      <c r="K230" s="128"/>
      <c r="L230" s="123"/>
      <c r="M230" s="122"/>
      <c r="N230" s="122"/>
      <c r="O230" s="127"/>
      <c r="P230" s="122"/>
      <c r="Q230" s="123"/>
      <c r="R230" s="123"/>
      <c r="S230" s="123"/>
      <c r="T230" s="123"/>
      <c r="U230" s="123"/>
      <c r="V230" s="123"/>
      <c r="W230" s="123"/>
      <c r="X230" s="123"/>
      <c r="Y230" s="123"/>
      <c r="Z230" s="123"/>
      <c r="AA230" s="123"/>
      <c r="AB230" s="123"/>
      <c r="AC230" s="123"/>
      <c r="AD230" s="123"/>
      <c r="AE230" s="123"/>
    </row>
    <row r="231" spans="1:31" ht="14.25" customHeight="1" thickBot="1">
      <c r="A231" s="123"/>
      <c r="B231" s="122"/>
      <c r="C231" s="123" t="s">
        <v>182</v>
      </c>
      <c r="D231" s="129">
        <f>ROUND(($D$227+$F$227+$H$227+$J$227+$L$227+$N$227+$P$227+$R$227+$T$227+$E$228)*$G$228,0)</f>
        <v>162</v>
      </c>
      <c r="E231" s="130" t="s">
        <v>183</v>
      </c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3"/>
      <c r="R231" s="123"/>
      <c r="S231" s="123"/>
      <c r="T231" s="123"/>
      <c r="U231" s="123"/>
      <c r="V231" s="123"/>
      <c r="W231" s="123"/>
      <c r="X231" s="123"/>
      <c r="Y231" s="123"/>
      <c r="Z231" s="123"/>
      <c r="AA231" s="123"/>
      <c r="AB231" s="123"/>
      <c r="AC231" s="123"/>
      <c r="AD231" s="123"/>
      <c r="AE231" s="123"/>
    </row>
    <row r="232" spans="1:31" ht="14.25" customHeight="1">
      <c r="A232" s="123"/>
      <c r="B232" s="123"/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3"/>
      <c r="T232" s="123"/>
      <c r="U232" s="123"/>
      <c r="V232" s="123"/>
      <c r="W232" s="123"/>
      <c r="X232" s="123"/>
      <c r="Y232" s="123"/>
      <c r="Z232" s="123"/>
      <c r="AA232" s="123"/>
      <c r="AB232" s="123"/>
      <c r="AC232" s="123"/>
      <c r="AD232" s="123"/>
      <c r="AE232" s="123"/>
    </row>
    <row r="233" spans="1:31" ht="14.25" customHeight="1">
      <c r="A233" s="123"/>
      <c r="B233" s="122" t="s">
        <v>222</v>
      </c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3"/>
      <c r="R233" s="123"/>
      <c r="S233" s="123"/>
      <c r="T233" s="123"/>
      <c r="U233" s="123"/>
      <c r="V233" s="123"/>
      <c r="W233" s="123"/>
      <c r="X233" s="123"/>
      <c r="Y233" s="123"/>
      <c r="Z233" s="123"/>
      <c r="AA233" s="123"/>
      <c r="AB233" s="123"/>
      <c r="AC233" s="123"/>
      <c r="AD233" s="123"/>
      <c r="AE233" s="123"/>
    </row>
    <row r="234" spans="1:31" ht="14.25" customHeight="1">
      <c r="A234" s="123"/>
      <c r="B234" s="123"/>
      <c r="C234" s="123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  <c r="R234" s="123"/>
      <c r="S234" s="123"/>
      <c r="T234" s="123"/>
      <c r="U234" s="123"/>
      <c r="V234" s="123"/>
      <c r="W234" s="123"/>
      <c r="X234" s="123"/>
      <c r="Y234" s="123"/>
      <c r="Z234" s="123"/>
      <c r="AA234" s="123"/>
      <c r="AB234" s="123"/>
      <c r="AC234" s="123"/>
      <c r="AD234" s="123"/>
      <c r="AE234" s="123"/>
    </row>
    <row r="235" spans="1:31" s="4" customFormat="1" ht="14.25" customHeight="1">
      <c r="A235" s="124"/>
      <c r="B235" s="124"/>
      <c r="C235" s="124" t="s">
        <v>223</v>
      </c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  <c r="Q235" s="124"/>
      <c r="R235" s="124"/>
      <c r="S235" s="124"/>
      <c r="T235" s="124"/>
      <c r="U235" s="124"/>
      <c r="V235" s="124"/>
      <c r="W235" s="124"/>
      <c r="X235" s="124"/>
      <c r="Y235" s="124"/>
      <c r="Z235" s="124"/>
      <c r="AA235" s="124"/>
      <c r="AB235" s="124"/>
      <c r="AC235" s="124"/>
      <c r="AD235" s="124"/>
      <c r="AE235" s="124"/>
    </row>
    <row r="236" spans="1:31" ht="14.25" customHeight="1">
      <c r="A236" s="123"/>
      <c r="B236" s="122"/>
      <c r="C236" s="122"/>
      <c r="D236" s="123"/>
      <c r="E236" s="123"/>
      <c r="F236" s="123"/>
      <c r="G236" s="123"/>
      <c r="H236" s="123"/>
      <c r="I236" s="123"/>
      <c r="J236" s="123"/>
      <c r="K236" s="123"/>
      <c r="L236" s="123"/>
      <c r="M236" s="122"/>
      <c r="N236" s="122"/>
      <c r="O236" s="122"/>
      <c r="P236" s="122"/>
      <c r="Q236" s="123"/>
      <c r="R236" s="123"/>
      <c r="S236" s="123"/>
      <c r="T236" s="123"/>
      <c r="U236" s="123"/>
      <c r="V236" s="123"/>
      <c r="W236" s="123"/>
      <c r="X236" s="123"/>
      <c r="Y236" s="123"/>
      <c r="Z236" s="123"/>
      <c r="AA236" s="123"/>
      <c r="AB236" s="123"/>
      <c r="AC236" s="123"/>
      <c r="AD236" s="123"/>
      <c r="AE236" s="123"/>
    </row>
    <row r="237" spans="1:31" s="12" customFormat="1" ht="14.25" customHeight="1">
      <c r="A237" s="125"/>
      <c r="B237" s="125"/>
      <c r="C237" s="126" t="s">
        <v>181</v>
      </c>
      <c r="D237" s="131">
        <f>L72</f>
        <v>19</v>
      </c>
      <c r="E237" s="125" t="s">
        <v>76</v>
      </c>
      <c r="F237" s="131">
        <f>L78</f>
        <v>16.2</v>
      </c>
      <c r="G237" s="125" t="s">
        <v>76</v>
      </c>
      <c r="H237" s="131">
        <f>L82</f>
        <v>3.3</v>
      </c>
      <c r="I237" s="125" t="s">
        <v>76</v>
      </c>
      <c r="J237" s="131">
        <f>L85</f>
        <v>11.7</v>
      </c>
      <c r="K237" s="125" t="s">
        <v>76</v>
      </c>
      <c r="L237" s="131">
        <f>L86</f>
        <v>6</v>
      </c>
      <c r="M237" s="126" t="s">
        <v>76</v>
      </c>
      <c r="N237" s="131">
        <f>L87</f>
        <v>17.7</v>
      </c>
      <c r="O237" s="126" t="s">
        <v>76</v>
      </c>
      <c r="P237" s="131">
        <f>L95</f>
        <v>6.5</v>
      </c>
      <c r="Q237" s="125" t="s">
        <v>76</v>
      </c>
      <c r="R237" s="131">
        <f>L96</f>
        <v>3.5</v>
      </c>
      <c r="S237" s="125" t="s">
        <v>76</v>
      </c>
      <c r="T237" s="131">
        <f>L97</f>
        <v>12.7</v>
      </c>
      <c r="U237" s="125"/>
      <c r="V237" s="125"/>
      <c r="W237" s="125"/>
      <c r="X237" s="125"/>
      <c r="Y237" s="125"/>
      <c r="Z237" s="125"/>
      <c r="AA237" s="125"/>
      <c r="AB237" s="125"/>
      <c r="AC237" s="125"/>
      <c r="AD237" s="125"/>
      <c r="AE237" s="125"/>
    </row>
    <row r="238" spans="1:31" s="12" customFormat="1" ht="14.25" customHeight="1">
      <c r="A238" s="125"/>
      <c r="B238" s="125"/>
      <c r="C238" s="126"/>
      <c r="D238" s="125" t="s">
        <v>76</v>
      </c>
      <c r="E238" s="131">
        <f>L94</f>
        <v>16.899999999999999</v>
      </c>
      <c r="F238" s="125" t="s">
        <v>76</v>
      </c>
      <c r="G238" s="131">
        <f>L104</f>
        <v>0.9</v>
      </c>
      <c r="H238" s="125" t="s">
        <v>186</v>
      </c>
      <c r="I238" s="125">
        <v>1.7</v>
      </c>
      <c r="J238" s="125"/>
      <c r="K238" s="125"/>
      <c r="L238" s="125"/>
      <c r="M238" s="126"/>
      <c r="N238" s="125"/>
      <c r="O238" s="126"/>
      <c r="P238" s="125"/>
      <c r="Q238" s="125"/>
      <c r="R238" s="125"/>
      <c r="S238" s="125"/>
      <c r="T238" s="125"/>
      <c r="U238" s="125"/>
      <c r="V238" s="125"/>
      <c r="W238" s="125"/>
      <c r="X238" s="125"/>
      <c r="Y238" s="125"/>
      <c r="Z238" s="125"/>
      <c r="AA238" s="125"/>
      <c r="AB238" s="125"/>
      <c r="AC238" s="125"/>
      <c r="AD238" s="125"/>
      <c r="AE238" s="125"/>
    </row>
    <row r="239" spans="1:31" s="12" customFormat="1" ht="14.25" hidden="1" customHeight="1">
      <c r="A239" s="125"/>
      <c r="B239" s="125"/>
      <c r="C239" s="126"/>
      <c r="D239" s="125"/>
      <c r="E239" s="125"/>
      <c r="F239" s="125"/>
      <c r="G239" s="125"/>
      <c r="H239" s="125"/>
      <c r="I239" s="125"/>
      <c r="J239" s="125"/>
      <c r="K239" s="125"/>
      <c r="L239" s="125"/>
      <c r="M239" s="126"/>
      <c r="N239" s="125"/>
      <c r="O239" s="126"/>
      <c r="P239" s="125"/>
      <c r="Q239" s="125"/>
      <c r="R239" s="125"/>
      <c r="S239" s="125"/>
      <c r="T239" s="125"/>
      <c r="U239" s="125"/>
      <c r="V239" s="125"/>
      <c r="W239" s="125"/>
      <c r="X239" s="125"/>
      <c r="Y239" s="125"/>
      <c r="Z239" s="125"/>
      <c r="AA239" s="125"/>
      <c r="AB239" s="125"/>
      <c r="AC239" s="125"/>
      <c r="AD239" s="125"/>
      <c r="AE239" s="125"/>
    </row>
    <row r="240" spans="1:31" ht="14.25" customHeight="1">
      <c r="A240" s="123"/>
      <c r="B240" s="122"/>
      <c r="C240" s="127"/>
      <c r="D240" s="123"/>
      <c r="E240" s="123"/>
      <c r="F240" s="123"/>
      <c r="G240" s="123"/>
      <c r="H240" s="123"/>
      <c r="I240" s="123"/>
      <c r="J240" s="123"/>
      <c r="K240" s="128"/>
      <c r="L240" s="123"/>
      <c r="M240" s="122"/>
      <c r="N240" s="122"/>
      <c r="O240" s="127"/>
      <c r="P240" s="122"/>
      <c r="Q240" s="123"/>
      <c r="R240" s="123"/>
      <c r="S240" s="123"/>
      <c r="T240" s="123"/>
      <c r="U240" s="123"/>
      <c r="V240" s="123"/>
      <c r="W240" s="123"/>
      <c r="X240" s="123"/>
      <c r="Y240" s="123"/>
      <c r="Z240" s="123"/>
      <c r="AA240" s="123"/>
      <c r="AB240" s="123"/>
      <c r="AC240" s="123"/>
      <c r="AD240" s="123"/>
      <c r="AE240" s="123"/>
    </row>
    <row r="241" spans="1:31" ht="14.25" customHeight="1" thickBot="1">
      <c r="A241" s="123"/>
      <c r="B241" s="122"/>
      <c r="C241" s="123" t="s">
        <v>182</v>
      </c>
      <c r="D241" s="129">
        <f>ROUND(($D$237+$F$237+$H$237+$J$237+$L$237+$N$237+$P$237+$R$237+$T$237+$E$238+$G$238)*$I$238,0)</f>
        <v>194</v>
      </c>
      <c r="E241" s="130" t="s">
        <v>183</v>
      </c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3"/>
      <c r="R241" s="123"/>
      <c r="S241" s="123"/>
      <c r="T241" s="123"/>
      <c r="U241" s="123"/>
      <c r="V241" s="123"/>
      <c r="W241" s="123"/>
      <c r="X241" s="123"/>
      <c r="Y241" s="123"/>
      <c r="Z241" s="123"/>
      <c r="AA241" s="123"/>
      <c r="AB241" s="123"/>
      <c r="AC241" s="123"/>
      <c r="AD241" s="123"/>
      <c r="AE241" s="123"/>
    </row>
    <row r="242" spans="1:31" ht="14.25" customHeight="1">
      <c r="A242" s="123"/>
      <c r="B242" s="123"/>
      <c r="C242" s="123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  <c r="R242" s="123"/>
      <c r="S242" s="123"/>
      <c r="T242" s="123"/>
      <c r="U242" s="123"/>
      <c r="V242" s="123"/>
      <c r="W242" s="123"/>
      <c r="X242" s="123"/>
      <c r="Y242" s="123"/>
      <c r="Z242" s="123"/>
      <c r="AA242" s="123"/>
      <c r="AB242" s="123"/>
      <c r="AC242" s="123"/>
      <c r="AD242" s="123"/>
      <c r="AE242" s="123"/>
    </row>
    <row r="243" spans="1:31" ht="14.25" customHeight="1">
      <c r="A243" s="123"/>
      <c r="B243" s="122" t="s">
        <v>224</v>
      </c>
      <c r="C243" s="122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3"/>
      <c r="R243" s="123"/>
      <c r="S243" s="123"/>
      <c r="T243" s="123"/>
      <c r="U243" s="123"/>
      <c r="V243" s="123"/>
      <c r="W243" s="123"/>
      <c r="X243" s="123"/>
      <c r="Y243" s="123"/>
      <c r="Z243" s="123"/>
      <c r="AA243" s="123"/>
      <c r="AB243" s="123"/>
      <c r="AC243" s="123"/>
      <c r="AD243" s="123"/>
      <c r="AE243" s="123"/>
    </row>
    <row r="244" spans="1:31" ht="14.25" customHeight="1">
      <c r="A244" s="123"/>
      <c r="B244" s="123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123"/>
      <c r="U244" s="123"/>
      <c r="V244" s="123"/>
      <c r="W244" s="123"/>
      <c r="X244" s="123"/>
      <c r="Y244" s="123"/>
      <c r="Z244" s="123"/>
      <c r="AA244" s="123"/>
      <c r="AB244" s="123"/>
      <c r="AC244" s="123"/>
      <c r="AD244" s="123"/>
      <c r="AE244" s="123"/>
    </row>
    <row r="245" spans="1:31" ht="14.25" customHeight="1">
      <c r="A245" s="123"/>
      <c r="B245" s="122" t="s">
        <v>225</v>
      </c>
      <c r="C245" s="122"/>
      <c r="D245" s="122"/>
      <c r="E245" s="122"/>
      <c r="F245" s="122"/>
      <c r="G245" s="122"/>
      <c r="H245" s="122"/>
      <c r="I245" s="122"/>
      <c r="J245" s="122"/>
      <c r="K245" s="122"/>
      <c r="L245" s="122"/>
      <c r="M245" s="122"/>
      <c r="N245" s="122"/>
      <c r="O245" s="122"/>
      <c r="P245" s="122"/>
      <c r="Q245" s="123"/>
      <c r="R245" s="123"/>
      <c r="S245" s="123"/>
      <c r="T245" s="123"/>
      <c r="U245" s="123"/>
      <c r="V245" s="123"/>
      <c r="W245" s="123"/>
      <c r="X245" s="123"/>
      <c r="Y245" s="123"/>
      <c r="Z245" s="123"/>
      <c r="AA245" s="123"/>
      <c r="AB245" s="123"/>
      <c r="AC245" s="123"/>
      <c r="AD245" s="123"/>
      <c r="AE245" s="123"/>
    </row>
    <row r="246" spans="1:31" ht="14.25" customHeight="1">
      <c r="A246" s="123"/>
      <c r="B246" s="123"/>
      <c r="C246" s="123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123"/>
      <c r="U246" s="123"/>
      <c r="V246" s="123"/>
      <c r="W246" s="123"/>
      <c r="X246" s="123"/>
      <c r="Y246" s="123"/>
      <c r="Z246" s="123"/>
      <c r="AA246" s="123"/>
      <c r="AB246" s="123"/>
      <c r="AC246" s="123"/>
      <c r="AD246" s="123"/>
      <c r="AE246" s="123"/>
    </row>
    <row r="247" spans="1:31" s="4" customFormat="1" ht="14.25" customHeight="1">
      <c r="A247" s="124"/>
      <c r="B247" s="124"/>
      <c r="C247" s="124" t="s">
        <v>226</v>
      </c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124"/>
      <c r="U247" s="124"/>
      <c r="V247" s="124"/>
      <c r="W247" s="124"/>
      <c r="X247" s="124"/>
      <c r="Y247" s="124"/>
      <c r="Z247" s="124"/>
      <c r="AA247" s="124"/>
      <c r="AB247" s="124"/>
      <c r="AC247" s="124"/>
      <c r="AD247" s="124"/>
      <c r="AE247" s="124"/>
    </row>
    <row r="248" spans="1:31" ht="14.25" customHeight="1">
      <c r="A248" s="123"/>
      <c r="B248" s="122"/>
      <c r="C248" s="122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2"/>
      <c r="T248" s="122"/>
      <c r="U248" s="122"/>
      <c r="V248" s="122"/>
      <c r="W248" s="123"/>
      <c r="X248" s="123"/>
      <c r="Y248" s="123"/>
      <c r="Z248" s="123"/>
      <c r="AA248" s="123"/>
      <c r="AB248" s="123"/>
      <c r="AC248" s="123"/>
      <c r="AD248" s="123"/>
      <c r="AE248" s="123"/>
    </row>
    <row r="249" spans="1:31" s="12" customFormat="1" ht="14.25" customHeight="1">
      <c r="A249" s="125"/>
      <c r="B249" s="125"/>
      <c r="C249" s="126" t="s">
        <v>181</v>
      </c>
      <c r="D249" s="131">
        <f>L72</f>
        <v>19</v>
      </c>
      <c r="E249" s="125" t="s">
        <v>76</v>
      </c>
      <c r="F249" s="131">
        <f>L78</f>
        <v>16.2</v>
      </c>
      <c r="G249" s="125" t="s">
        <v>76</v>
      </c>
      <c r="H249" s="131">
        <f>L82</f>
        <v>3.3</v>
      </c>
      <c r="I249" s="125" t="s">
        <v>76</v>
      </c>
      <c r="J249" s="131">
        <f>L85</f>
        <v>11.7</v>
      </c>
      <c r="K249" s="125" t="s">
        <v>76</v>
      </c>
      <c r="L249" s="131">
        <f>L86</f>
        <v>6</v>
      </c>
      <c r="M249" s="125" t="s">
        <v>76</v>
      </c>
      <c r="N249" s="131">
        <f>L87</f>
        <v>17.7</v>
      </c>
      <c r="O249" s="125" t="s">
        <v>76</v>
      </c>
      <c r="P249" s="131">
        <f>L95</f>
        <v>6.5</v>
      </c>
      <c r="Q249" s="125" t="s">
        <v>76</v>
      </c>
      <c r="R249" s="131">
        <f>L96</f>
        <v>3.5</v>
      </c>
      <c r="S249" s="126" t="s">
        <v>76</v>
      </c>
      <c r="T249" s="131">
        <f>L97</f>
        <v>12.7</v>
      </c>
      <c r="U249" s="126"/>
      <c r="V249" s="125"/>
      <c r="W249" s="125"/>
      <c r="X249" s="125"/>
      <c r="Y249" s="125"/>
      <c r="Z249" s="125"/>
      <c r="AA249" s="125"/>
      <c r="AB249" s="125"/>
      <c r="AC249" s="125"/>
      <c r="AD249" s="125"/>
      <c r="AE249" s="125"/>
    </row>
    <row r="250" spans="1:31" s="12" customFormat="1" ht="14.25" customHeight="1">
      <c r="A250" s="125"/>
      <c r="B250" s="125"/>
      <c r="C250" s="126"/>
      <c r="D250" s="125" t="s">
        <v>76</v>
      </c>
      <c r="E250" s="131">
        <f>L98</f>
        <v>1</v>
      </c>
      <c r="F250" s="125" t="s">
        <v>76</v>
      </c>
      <c r="G250" s="131">
        <f>N100</f>
        <v>61.3</v>
      </c>
      <c r="H250" s="125" t="s">
        <v>76</v>
      </c>
      <c r="I250" s="131">
        <f>L94</f>
        <v>16.899999999999999</v>
      </c>
      <c r="J250" s="125" t="s">
        <v>76</v>
      </c>
      <c r="K250" s="131">
        <f>L104</f>
        <v>0.9</v>
      </c>
      <c r="L250" s="125" t="s">
        <v>186</v>
      </c>
      <c r="M250" s="125">
        <v>1.7</v>
      </c>
      <c r="N250" s="125" t="s">
        <v>227</v>
      </c>
      <c r="O250" s="140">
        <v>30</v>
      </c>
      <c r="P250" s="125"/>
      <c r="Q250" s="125"/>
      <c r="R250" s="125"/>
      <c r="S250" s="126"/>
      <c r="T250" s="125"/>
      <c r="U250" s="126"/>
      <c r="V250" s="125"/>
      <c r="W250" s="125"/>
      <c r="X250" s="125"/>
      <c r="Y250" s="125"/>
      <c r="Z250" s="125"/>
      <c r="AA250" s="125"/>
      <c r="AB250" s="125"/>
      <c r="AC250" s="125"/>
      <c r="AD250" s="125"/>
      <c r="AE250" s="125"/>
    </row>
    <row r="251" spans="1:31" s="12" customFormat="1" ht="14.25" hidden="1" customHeight="1">
      <c r="A251" s="125"/>
      <c r="B251" s="125"/>
      <c r="C251" s="126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6"/>
      <c r="T251" s="125"/>
      <c r="U251" s="126"/>
      <c r="V251" s="125"/>
      <c r="W251" s="125"/>
      <c r="X251" s="125"/>
      <c r="Y251" s="125"/>
      <c r="Z251" s="125"/>
      <c r="AA251" s="125"/>
      <c r="AB251" s="125"/>
      <c r="AC251" s="125"/>
      <c r="AD251" s="125"/>
      <c r="AE251" s="125"/>
    </row>
    <row r="252" spans="1:31" ht="14.25" customHeight="1">
      <c r="A252" s="123"/>
      <c r="B252" s="122"/>
      <c r="C252" s="127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  <c r="Q252" s="128"/>
      <c r="R252" s="123"/>
      <c r="S252" s="123"/>
      <c r="T252" s="123"/>
      <c r="U252" s="122"/>
      <c r="V252" s="122"/>
      <c r="W252" s="123"/>
      <c r="X252" s="123"/>
      <c r="Y252" s="123"/>
      <c r="Z252" s="123"/>
      <c r="AA252" s="123"/>
      <c r="AB252" s="123"/>
      <c r="AC252" s="123"/>
      <c r="AD252" s="123"/>
      <c r="AE252" s="123"/>
    </row>
    <row r="253" spans="1:31" ht="14.25" customHeight="1" thickBot="1">
      <c r="A253" s="123"/>
      <c r="B253" s="122"/>
      <c r="C253" s="123" t="s">
        <v>182</v>
      </c>
      <c r="D253" s="129">
        <f>ROUND(($D$249+$F$249+$H$249+$J$249+$L$249+$N$249+$P$249+$R$249+$T$249+$E$250+$G$250+$I$250+$K$250)*$M$250/$O$250,1)</f>
        <v>10</v>
      </c>
      <c r="E253" s="130" t="s">
        <v>228</v>
      </c>
      <c r="F253" s="122"/>
      <c r="G253" s="122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122"/>
      <c r="U253" s="122"/>
      <c r="V253" s="122"/>
      <c r="W253" s="123"/>
      <c r="X253" s="123"/>
      <c r="Y253" s="123"/>
      <c r="Z253" s="123"/>
      <c r="AA253" s="123"/>
      <c r="AB253" s="123"/>
      <c r="AC253" s="123"/>
      <c r="AD253" s="123"/>
      <c r="AE253" s="123"/>
    </row>
    <row r="254" spans="1:31" ht="14.25" customHeight="1">
      <c r="A254" s="123"/>
      <c r="B254" s="123"/>
      <c r="C254" s="123"/>
      <c r="D254" s="123"/>
      <c r="E254" s="123"/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123"/>
      <c r="U254" s="123"/>
      <c r="V254" s="123"/>
      <c r="W254" s="123"/>
      <c r="X254" s="123"/>
      <c r="Y254" s="123"/>
      <c r="Z254" s="123"/>
      <c r="AA254" s="123"/>
      <c r="AB254" s="123"/>
      <c r="AC254" s="123"/>
      <c r="AD254" s="123"/>
      <c r="AE254" s="123"/>
    </row>
    <row r="255" spans="1:31" ht="14.25" customHeight="1">
      <c r="A255" s="123"/>
      <c r="B255" s="122" t="s">
        <v>229</v>
      </c>
      <c r="C255" s="122"/>
      <c r="D255" s="122"/>
      <c r="E255" s="122"/>
      <c r="F255" s="122"/>
      <c r="G255" s="122"/>
      <c r="H255" s="122"/>
      <c r="I255" s="122"/>
      <c r="J255" s="122"/>
      <c r="K255" s="122"/>
      <c r="L255" s="122"/>
      <c r="M255" s="122"/>
      <c r="N255" s="122"/>
      <c r="O255" s="122"/>
      <c r="P255" s="122"/>
      <c r="Q255" s="123"/>
      <c r="R255" s="123"/>
      <c r="S255" s="123"/>
      <c r="T255" s="123"/>
      <c r="U255" s="123"/>
      <c r="V255" s="123"/>
      <c r="W255" s="123"/>
      <c r="X255" s="123"/>
      <c r="Y255" s="123"/>
      <c r="Z255" s="123"/>
      <c r="AA255" s="123"/>
      <c r="AB255" s="123"/>
      <c r="AC255" s="123"/>
      <c r="AD255" s="123"/>
      <c r="AE255" s="123"/>
    </row>
    <row r="256" spans="1:31" ht="14.25" customHeight="1">
      <c r="A256" s="123"/>
      <c r="B256" s="123"/>
      <c r="C256" s="123"/>
      <c r="D256" s="123"/>
      <c r="E256" s="123"/>
      <c r="F256" s="123"/>
      <c r="G256" s="123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123"/>
      <c r="U256" s="123"/>
      <c r="V256" s="123"/>
      <c r="W256" s="123"/>
      <c r="X256" s="123"/>
      <c r="Y256" s="123"/>
      <c r="Z256" s="123"/>
      <c r="AA256" s="123"/>
      <c r="AB256" s="123"/>
      <c r="AC256" s="123"/>
      <c r="AD256" s="123"/>
      <c r="AE256" s="123"/>
    </row>
    <row r="257" spans="1:31" s="4" customFormat="1" ht="14.25" customHeight="1">
      <c r="A257" s="124"/>
      <c r="B257" s="124"/>
      <c r="C257" s="124" t="s">
        <v>230</v>
      </c>
      <c r="D257" s="124"/>
      <c r="E257" s="124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124"/>
      <c r="U257" s="124"/>
      <c r="V257" s="124"/>
      <c r="W257" s="124"/>
      <c r="X257" s="124"/>
      <c r="Y257" s="124"/>
      <c r="Z257" s="124"/>
      <c r="AA257" s="124"/>
      <c r="AB257" s="124"/>
      <c r="AC257" s="124"/>
      <c r="AD257" s="124"/>
      <c r="AE257" s="124"/>
    </row>
    <row r="258" spans="1:31" ht="14.25" customHeight="1">
      <c r="A258" s="123"/>
      <c r="B258" s="122"/>
      <c r="C258" s="122"/>
      <c r="D258" s="123"/>
      <c r="E258" s="123"/>
      <c r="F258" s="123"/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2"/>
      <c r="T258" s="122"/>
      <c r="U258" s="122"/>
      <c r="V258" s="122"/>
      <c r="W258" s="123"/>
      <c r="X258" s="123"/>
      <c r="Y258" s="123"/>
      <c r="Z258" s="123"/>
      <c r="AA258" s="123"/>
      <c r="AB258" s="123"/>
      <c r="AC258" s="123"/>
      <c r="AD258" s="123"/>
      <c r="AE258" s="123"/>
    </row>
    <row r="259" spans="1:31" s="12" customFormat="1" ht="14.25" customHeight="1">
      <c r="A259" s="125"/>
      <c r="B259" s="125"/>
      <c r="C259" s="126" t="s">
        <v>181</v>
      </c>
      <c r="D259" s="131">
        <f>L87</f>
        <v>17.7</v>
      </c>
      <c r="E259" s="125" t="s">
        <v>76</v>
      </c>
      <c r="F259" s="131">
        <f>L95</f>
        <v>6.5</v>
      </c>
      <c r="G259" s="125" t="s">
        <v>76</v>
      </c>
      <c r="H259" s="131">
        <f>L96</f>
        <v>3.5</v>
      </c>
      <c r="I259" s="125" t="s">
        <v>76</v>
      </c>
      <c r="J259" s="131">
        <f>L97</f>
        <v>12.7</v>
      </c>
      <c r="K259" s="125" t="s">
        <v>76</v>
      </c>
      <c r="L259" s="131">
        <f>L98</f>
        <v>1</v>
      </c>
      <c r="M259" s="125" t="s">
        <v>76</v>
      </c>
      <c r="N259" s="131">
        <f>'[1]日数 (1)'!Q777</f>
        <v>9.5</v>
      </c>
      <c r="O259" s="125" t="s">
        <v>76</v>
      </c>
      <c r="P259" s="131">
        <f>'[1]日数 (1)'!Q781</f>
        <v>5.9</v>
      </c>
      <c r="Q259" s="125" t="s">
        <v>76</v>
      </c>
      <c r="R259" s="131">
        <f>'[1]日数 (1)'!Q785</f>
        <v>3.2</v>
      </c>
      <c r="S259" s="126" t="s">
        <v>76</v>
      </c>
      <c r="T259" s="131">
        <f>L94</f>
        <v>16.899999999999999</v>
      </c>
      <c r="U259" s="126"/>
      <c r="V259" s="125"/>
      <c r="W259" s="125"/>
      <c r="X259" s="125"/>
      <c r="Y259" s="125"/>
      <c r="Z259" s="125"/>
      <c r="AA259" s="125"/>
      <c r="AB259" s="125"/>
      <c r="AC259" s="125"/>
      <c r="AD259" s="125"/>
      <c r="AE259" s="125"/>
    </row>
    <row r="260" spans="1:31" s="12" customFormat="1" ht="14.25" customHeight="1">
      <c r="A260" s="125"/>
      <c r="B260" s="125"/>
      <c r="C260" s="126"/>
      <c r="D260" s="125" t="s">
        <v>76</v>
      </c>
      <c r="E260" s="131">
        <f>L104</f>
        <v>0.9</v>
      </c>
      <c r="F260" s="125" t="s">
        <v>186</v>
      </c>
      <c r="G260" s="125">
        <v>1.7</v>
      </c>
      <c r="H260" s="125" t="s">
        <v>227</v>
      </c>
      <c r="I260" s="140">
        <v>30</v>
      </c>
      <c r="J260" s="125"/>
      <c r="K260" s="125"/>
      <c r="L260" s="125"/>
      <c r="M260" s="125"/>
      <c r="N260" s="125"/>
      <c r="O260" s="125"/>
      <c r="P260" s="125"/>
      <c r="Q260" s="125"/>
      <c r="R260" s="125"/>
      <c r="S260" s="126"/>
      <c r="T260" s="125"/>
      <c r="U260" s="126"/>
      <c r="V260" s="125"/>
      <c r="W260" s="125"/>
      <c r="X260" s="125"/>
      <c r="Y260" s="125"/>
      <c r="Z260" s="125"/>
      <c r="AA260" s="125"/>
      <c r="AB260" s="125"/>
      <c r="AC260" s="125"/>
      <c r="AD260" s="125"/>
      <c r="AE260" s="125"/>
    </row>
    <row r="261" spans="1:31" s="12" customFormat="1" ht="14.25" hidden="1" customHeight="1">
      <c r="A261" s="125"/>
      <c r="B261" s="125"/>
      <c r="C261" s="126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6"/>
      <c r="T261" s="125"/>
      <c r="U261" s="126"/>
      <c r="V261" s="125"/>
      <c r="W261" s="125"/>
      <c r="X261" s="125"/>
      <c r="Y261" s="125"/>
      <c r="Z261" s="125"/>
      <c r="AA261" s="125"/>
      <c r="AB261" s="125"/>
      <c r="AC261" s="125"/>
      <c r="AD261" s="125"/>
      <c r="AE261" s="125"/>
    </row>
    <row r="262" spans="1:31" ht="14.25" customHeight="1">
      <c r="A262" s="123"/>
      <c r="B262" s="122"/>
      <c r="C262" s="127"/>
      <c r="D262" s="123"/>
      <c r="E262" s="123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  <c r="P262" s="123"/>
      <c r="Q262" s="128"/>
      <c r="R262" s="123"/>
      <c r="S262" s="123"/>
      <c r="T262" s="123"/>
      <c r="U262" s="122"/>
      <c r="V262" s="122"/>
      <c r="W262" s="123"/>
      <c r="X262" s="123"/>
      <c r="Y262" s="123"/>
      <c r="Z262" s="123"/>
      <c r="AA262" s="123"/>
      <c r="AB262" s="123"/>
      <c r="AC262" s="123"/>
      <c r="AD262" s="123"/>
      <c r="AE262" s="123"/>
    </row>
    <row r="263" spans="1:31" ht="14.25" customHeight="1" thickBot="1">
      <c r="A263" s="123"/>
      <c r="B263" s="122"/>
      <c r="C263" s="123" t="s">
        <v>182</v>
      </c>
      <c r="D263" s="129">
        <f>ROUND(($D$259+$F$259+$H$259+$J$259+$L$259+$N$259+$P$259+$R$259+$T$259+$E$260)*$G$260/$I$260,1)</f>
        <v>4.4000000000000004</v>
      </c>
      <c r="E263" s="130" t="s">
        <v>228</v>
      </c>
      <c r="F263" s="122"/>
      <c r="G263" s="122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122"/>
      <c r="U263" s="122"/>
      <c r="V263" s="122"/>
      <c r="W263" s="123"/>
      <c r="X263" s="123"/>
      <c r="Y263" s="123"/>
      <c r="Z263" s="123"/>
      <c r="AA263" s="123"/>
      <c r="AB263" s="123"/>
      <c r="AC263" s="123"/>
      <c r="AD263" s="123"/>
      <c r="AE263" s="123"/>
    </row>
    <row r="264" spans="1:31" ht="14.25" customHeight="1">
      <c r="A264" s="123"/>
      <c r="B264" s="123"/>
      <c r="C264" s="123"/>
      <c r="D264" s="123"/>
      <c r="E264" s="123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123"/>
      <c r="U264" s="123"/>
      <c r="V264" s="123"/>
      <c r="W264" s="123"/>
      <c r="X264" s="123"/>
      <c r="Y264" s="123"/>
      <c r="Z264" s="123"/>
      <c r="AA264" s="123"/>
      <c r="AB264" s="123"/>
      <c r="AC264" s="123"/>
      <c r="AD264" s="123"/>
      <c r="AE264" s="123"/>
    </row>
    <row r="265" spans="1:31" ht="14.25" hidden="1" customHeight="1">
      <c r="A265" s="123"/>
      <c r="B265" s="122" t="s">
        <v>231</v>
      </c>
      <c r="C265" s="122"/>
      <c r="D265" s="122"/>
      <c r="E265" s="122"/>
      <c r="F265" s="122"/>
      <c r="G265" s="122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122"/>
      <c r="U265" s="122"/>
      <c r="V265" s="122"/>
      <c r="W265" s="123"/>
      <c r="X265" s="123"/>
      <c r="Y265" s="123"/>
      <c r="Z265" s="123"/>
      <c r="AA265" s="123"/>
      <c r="AB265" s="123"/>
      <c r="AC265" s="123"/>
      <c r="AD265" s="123"/>
      <c r="AE265" s="123"/>
    </row>
    <row r="266" spans="1:31" ht="14.25" hidden="1" customHeight="1">
      <c r="A266" s="123"/>
      <c r="B266" s="123"/>
      <c r="C266" s="123"/>
      <c r="D266" s="123"/>
      <c r="E266" s="123"/>
      <c r="F266" s="123"/>
      <c r="G266" s="123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123"/>
      <c r="U266" s="123"/>
      <c r="V266" s="123"/>
      <c r="W266" s="123"/>
      <c r="X266" s="123"/>
      <c r="Y266" s="123"/>
      <c r="Z266" s="123"/>
      <c r="AA266" s="123"/>
      <c r="AB266" s="123"/>
      <c r="AC266" s="123"/>
      <c r="AD266" s="123"/>
      <c r="AE266" s="123"/>
    </row>
    <row r="267" spans="1:31" s="4" customFormat="1" ht="14.25" hidden="1" customHeight="1">
      <c r="A267" s="124"/>
      <c r="B267" s="124"/>
      <c r="C267" s="124"/>
      <c r="D267" s="124"/>
      <c r="E267" s="124"/>
      <c r="F267" s="124"/>
      <c r="G267" s="124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124"/>
      <c r="U267" s="124"/>
      <c r="V267" s="124"/>
      <c r="W267" s="124"/>
      <c r="X267" s="124"/>
      <c r="Y267" s="124"/>
      <c r="Z267" s="124"/>
      <c r="AA267" s="124"/>
      <c r="AB267" s="124"/>
      <c r="AC267" s="124"/>
      <c r="AD267" s="124"/>
      <c r="AE267" s="124"/>
    </row>
    <row r="268" spans="1:31" ht="14.25" hidden="1" customHeight="1">
      <c r="A268" s="123"/>
      <c r="B268" s="123"/>
      <c r="C268" s="123"/>
      <c r="D268" s="123"/>
      <c r="E268" s="123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123"/>
      <c r="U268" s="123"/>
      <c r="V268" s="123"/>
      <c r="W268" s="123"/>
      <c r="X268" s="123"/>
      <c r="Y268" s="123"/>
      <c r="Z268" s="123"/>
      <c r="AA268" s="123"/>
      <c r="AB268" s="123"/>
      <c r="AC268" s="123"/>
      <c r="AD268" s="123"/>
      <c r="AE268" s="123"/>
    </row>
    <row r="269" spans="1:31" s="12" customFormat="1" ht="14.25" hidden="1" customHeight="1">
      <c r="A269" s="125"/>
      <c r="B269" s="125"/>
      <c r="C269" s="126" t="s">
        <v>181</v>
      </c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125"/>
      <c r="U269" s="125"/>
      <c r="V269" s="125"/>
      <c r="W269" s="125"/>
      <c r="X269" s="125"/>
      <c r="Y269" s="126"/>
      <c r="Z269" s="125"/>
      <c r="AA269" s="125"/>
      <c r="AB269" s="125"/>
      <c r="AC269" s="125"/>
      <c r="AD269" s="125"/>
      <c r="AE269" s="125"/>
    </row>
    <row r="270" spans="1:31" s="12" customFormat="1" ht="14.25" hidden="1" customHeight="1">
      <c r="A270" s="125"/>
      <c r="B270" s="125"/>
      <c r="C270" s="126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25"/>
      <c r="U270" s="125"/>
      <c r="V270" s="125"/>
      <c r="W270" s="125"/>
      <c r="X270" s="125"/>
      <c r="Y270" s="126"/>
      <c r="Z270" s="125"/>
      <c r="AA270" s="125"/>
      <c r="AB270" s="125"/>
      <c r="AC270" s="125"/>
      <c r="AD270" s="125"/>
      <c r="AE270" s="125"/>
    </row>
    <row r="271" spans="1:31" s="12" customFormat="1" ht="14.25" hidden="1" customHeight="1">
      <c r="A271" s="125"/>
      <c r="B271" s="125"/>
      <c r="C271" s="126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  <c r="V271" s="125"/>
      <c r="W271" s="125"/>
      <c r="X271" s="125"/>
      <c r="Y271" s="126"/>
      <c r="Z271" s="125"/>
      <c r="AA271" s="125"/>
      <c r="AB271" s="125"/>
      <c r="AC271" s="125"/>
      <c r="AD271" s="125"/>
      <c r="AE271" s="125"/>
    </row>
    <row r="272" spans="1:31" ht="14.25" hidden="1" customHeight="1">
      <c r="A272" s="123"/>
      <c r="B272" s="122"/>
      <c r="C272" s="127"/>
      <c r="D272" s="123"/>
      <c r="E272" s="123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123"/>
      <c r="U272" s="123"/>
      <c r="V272" s="122"/>
      <c r="W272" s="123"/>
      <c r="X272" s="123"/>
      <c r="Y272" s="123"/>
      <c r="Z272" s="123"/>
      <c r="AA272" s="123"/>
      <c r="AB272" s="123"/>
      <c r="AC272" s="123"/>
      <c r="AD272" s="123"/>
      <c r="AE272" s="123"/>
    </row>
    <row r="273" spans="1:31" ht="14.25" hidden="1" customHeight="1">
      <c r="A273" s="123"/>
      <c r="B273" s="123"/>
      <c r="C273" s="123" t="s">
        <v>182</v>
      </c>
      <c r="D273" s="129"/>
      <c r="E273" s="130" t="s">
        <v>228</v>
      </c>
      <c r="F273" s="123"/>
      <c r="G273" s="123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123"/>
      <c r="U273" s="123"/>
      <c r="V273" s="123"/>
      <c r="W273" s="123"/>
      <c r="X273" s="123"/>
      <c r="Y273" s="123"/>
      <c r="Z273" s="123"/>
      <c r="AA273" s="123"/>
      <c r="AB273" s="123"/>
      <c r="AC273" s="123"/>
      <c r="AD273" s="123"/>
      <c r="AE273" s="123"/>
    </row>
    <row r="274" spans="1:31" ht="14.25" hidden="1" customHeight="1"/>
    <row r="275" spans="1:31" ht="14.25" hidden="1" customHeight="1">
      <c r="B275" s="122"/>
    </row>
    <row r="276" spans="1:31" ht="14.25" hidden="1" customHeight="1"/>
    <row r="277" spans="1:31" s="4" customFormat="1" ht="14.25" hidden="1" customHeight="1">
      <c r="C277" s="124"/>
      <c r="D277" s="124"/>
      <c r="E277" s="124"/>
      <c r="F277" s="124"/>
      <c r="G277" s="124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</row>
    <row r="278" spans="1:31" ht="14.25" hidden="1" customHeight="1">
      <c r="C278" s="122"/>
      <c r="D278" s="123"/>
      <c r="E278" s="123"/>
      <c r="F278" s="123"/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2"/>
      <c r="R278" s="122"/>
    </row>
    <row r="279" spans="1:31" s="12" customFormat="1" ht="14.25" hidden="1" customHeight="1">
      <c r="C279" s="126" t="s">
        <v>181</v>
      </c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</row>
    <row r="280" spans="1:31" s="12" customFormat="1" ht="14.25" hidden="1" customHeight="1">
      <c r="C280" s="126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</row>
    <row r="281" spans="1:31" s="12" customFormat="1" ht="14.25" hidden="1" customHeight="1">
      <c r="C281" s="126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</row>
    <row r="282" spans="1:31" ht="14.25" hidden="1" customHeight="1">
      <c r="C282" s="127"/>
      <c r="D282" s="123"/>
      <c r="E282" s="123"/>
      <c r="F282" s="123"/>
      <c r="G282" s="123"/>
      <c r="H282" s="123"/>
      <c r="I282" s="123"/>
      <c r="J282" s="123"/>
      <c r="K282" s="123"/>
      <c r="L282" s="123"/>
      <c r="M282" s="123"/>
      <c r="N282" s="123"/>
      <c r="O282" s="128"/>
      <c r="P282" s="123"/>
      <c r="Q282" s="123"/>
      <c r="R282" s="123"/>
    </row>
    <row r="283" spans="1:31" ht="14.25" hidden="1" customHeight="1">
      <c r="C283" s="123" t="s">
        <v>182</v>
      </c>
      <c r="D283" s="129"/>
      <c r="E283" s="130" t="s">
        <v>228</v>
      </c>
      <c r="F283" s="122"/>
      <c r="G283" s="122"/>
      <c r="H283" s="122"/>
      <c r="I283" s="122"/>
      <c r="J283" s="122"/>
      <c r="K283" s="122"/>
      <c r="L283" s="122"/>
      <c r="M283" s="122"/>
      <c r="N283" s="122"/>
      <c r="O283" s="122"/>
      <c r="P283" s="122"/>
      <c r="Q283" s="123"/>
      <c r="R283" s="123"/>
    </row>
    <row r="284" spans="1:31" ht="14.25" hidden="1" customHeight="1"/>
    <row r="285" spans="1:31" ht="14.25" customHeight="1">
      <c r="B285" s="122" t="s">
        <v>232</v>
      </c>
    </row>
    <row r="286" spans="1:31" ht="14.25" customHeight="1"/>
    <row r="287" spans="1:31" s="4" customFormat="1" ht="14.25" customHeight="1">
      <c r="C287" s="124" t="s">
        <v>233</v>
      </c>
      <c r="D287" s="124"/>
      <c r="E287" s="124"/>
      <c r="F287" s="124"/>
      <c r="G287" s="124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</row>
    <row r="288" spans="1:31" ht="14.25" customHeight="1">
      <c r="C288" s="122"/>
      <c r="D288" s="123"/>
      <c r="E288" s="123"/>
      <c r="F288" s="123"/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2"/>
      <c r="R288" s="122"/>
    </row>
    <row r="289" spans="2:18" s="12" customFormat="1" ht="14.25" customHeight="1">
      <c r="C289" s="126" t="s">
        <v>181</v>
      </c>
      <c r="D289" s="131">
        <f>L86</f>
        <v>6</v>
      </c>
      <c r="E289" s="125" t="s">
        <v>76</v>
      </c>
      <c r="F289" s="131">
        <f>N88</f>
        <v>12.5</v>
      </c>
      <c r="G289" s="125" t="s">
        <v>76</v>
      </c>
      <c r="H289" s="131">
        <f>N89</f>
        <v>3.9</v>
      </c>
      <c r="I289" s="125" t="s">
        <v>76</v>
      </c>
      <c r="J289" s="131">
        <f>L95</f>
        <v>6.5</v>
      </c>
      <c r="K289" s="125" t="s">
        <v>76</v>
      </c>
      <c r="L289" s="131">
        <f>L94</f>
        <v>16.899999999999999</v>
      </c>
      <c r="M289" s="125" t="s">
        <v>76</v>
      </c>
      <c r="N289" s="131">
        <f>L97</f>
        <v>12.7</v>
      </c>
      <c r="O289" s="125" t="s">
        <v>186</v>
      </c>
      <c r="P289" s="125">
        <v>1.7</v>
      </c>
      <c r="Q289" s="125"/>
      <c r="R289" s="125"/>
    </row>
    <row r="290" spans="2:18" s="12" customFormat="1" ht="14.25" hidden="1" customHeight="1">
      <c r="C290" s="126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</row>
    <row r="291" spans="2:18" s="12" customFormat="1" ht="14.25" hidden="1" customHeight="1">
      <c r="C291" s="126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</row>
    <row r="292" spans="2:18" ht="14.25" customHeight="1">
      <c r="C292" s="127"/>
      <c r="D292" s="123"/>
      <c r="E292" s="123"/>
      <c r="F292" s="123"/>
      <c r="G292" s="123"/>
      <c r="H292" s="123"/>
      <c r="I292" s="123"/>
      <c r="J292" s="123"/>
      <c r="K292" s="123"/>
      <c r="L292" s="123"/>
      <c r="M292" s="123"/>
      <c r="N292" s="123"/>
      <c r="O292" s="128"/>
      <c r="P292" s="123"/>
      <c r="Q292" s="123"/>
      <c r="R292" s="123"/>
    </row>
    <row r="293" spans="2:18" ht="14.25" customHeight="1" thickBot="1">
      <c r="C293" s="123" t="s">
        <v>182</v>
      </c>
      <c r="D293" s="129">
        <f>ROUND(($D$289+$F$289+$H$289+$J$289+$L$289+$N$289)*$P$289,0)</f>
        <v>99</v>
      </c>
      <c r="E293" s="130" t="s">
        <v>183</v>
      </c>
      <c r="F293" s="122"/>
      <c r="G293" s="122"/>
      <c r="H293" s="122"/>
      <c r="I293" s="122"/>
      <c r="J293" s="122"/>
      <c r="K293" s="122"/>
      <c r="L293" s="122"/>
      <c r="M293" s="122"/>
      <c r="N293" s="122"/>
      <c r="O293" s="122"/>
      <c r="P293" s="122"/>
      <c r="Q293" s="123"/>
      <c r="R293" s="123"/>
    </row>
    <row r="294" spans="2:18" ht="14.25" customHeight="1"/>
    <row r="295" spans="2:18" ht="14.25" customHeight="1">
      <c r="B295" s="2" t="s">
        <v>234</v>
      </c>
    </row>
    <row r="296" spans="2:18" ht="14.25" customHeight="1"/>
    <row r="297" spans="2:18" s="4" customFormat="1" ht="14.25" customHeight="1">
      <c r="C297" s="124" t="str">
        <f>"｛" &amp; P94 &amp; "｝×1.7"</f>
        <v>｛Ｇ'｝×1.7</v>
      </c>
      <c r="D297" s="124"/>
      <c r="E297" s="124"/>
      <c r="F297" s="124"/>
      <c r="G297" s="124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</row>
    <row r="298" spans="2:18" ht="14.25" customHeight="1">
      <c r="C298" s="122"/>
      <c r="D298" s="123"/>
      <c r="E298" s="123"/>
      <c r="F298" s="123"/>
      <c r="G298" s="123"/>
      <c r="H298" s="123"/>
      <c r="I298" s="123"/>
      <c r="J298" s="123"/>
      <c r="K298" s="123"/>
      <c r="L298" s="123"/>
      <c r="M298" s="123"/>
      <c r="N298" s="123"/>
      <c r="O298" s="123"/>
      <c r="P298" s="123"/>
      <c r="Q298" s="122"/>
      <c r="R298" s="122"/>
    </row>
    <row r="299" spans="2:18" s="12" customFormat="1" ht="14.25" customHeight="1">
      <c r="C299" s="125" t="s">
        <v>34</v>
      </c>
      <c r="D299" s="131">
        <f>L94</f>
        <v>16.899999999999999</v>
      </c>
      <c r="E299" s="125" t="s">
        <v>177</v>
      </c>
      <c r="F299" s="125">
        <v>1.7</v>
      </c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  <c r="R299" s="125"/>
    </row>
    <row r="300" spans="2:18" ht="14.25" customHeight="1">
      <c r="C300" s="127"/>
      <c r="D300" s="123"/>
      <c r="E300" s="123"/>
      <c r="F300" s="123"/>
      <c r="G300" s="123"/>
      <c r="H300" s="123"/>
      <c r="I300" s="123"/>
      <c r="J300" s="123"/>
      <c r="K300" s="123"/>
      <c r="L300" s="123"/>
      <c r="M300" s="123"/>
      <c r="N300" s="123"/>
      <c r="O300" s="128"/>
      <c r="P300" s="123"/>
      <c r="Q300" s="123"/>
      <c r="R300" s="123"/>
    </row>
    <row r="301" spans="2:18" ht="14.25" customHeight="1" thickBot="1">
      <c r="C301" s="123" t="s">
        <v>182</v>
      </c>
      <c r="D301" s="129">
        <f>ROUND(D299*F299,0)</f>
        <v>29</v>
      </c>
      <c r="E301" s="130" t="s">
        <v>183</v>
      </c>
      <c r="F301" s="122"/>
      <c r="G301" s="122"/>
      <c r="H301" s="122"/>
      <c r="I301" s="122"/>
      <c r="J301" s="122"/>
      <c r="K301" s="122"/>
      <c r="L301" s="122"/>
      <c r="M301" s="122"/>
      <c r="N301" s="122"/>
      <c r="O301" s="122"/>
      <c r="P301" s="122"/>
      <c r="Q301" s="123"/>
      <c r="R301" s="123"/>
    </row>
    <row r="302" spans="2:18" ht="14.25" customHeight="1"/>
    <row r="303" spans="2:18" ht="14.25" customHeight="1">
      <c r="B303" s="2" t="s">
        <v>235</v>
      </c>
    </row>
    <row r="304" spans="2:18" ht="14.25" customHeight="1"/>
    <row r="305" spans="3:18" s="4" customFormat="1" ht="14.25" customHeight="1">
      <c r="C305" s="124" t="s">
        <v>233</v>
      </c>
      <c r="D305" s="124"/>
      <c r="E305" s="124"/>
      <c r="F305" s="124"/>
      <c r="G305" s="124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</row>
    <row r="306" spans="3:18" ht="14.25" customHeight="1">
      <c r="C306" s="122"/>
      <c r="D306" s="123"/>
      <c r="E306" s="123"/>
      <c r="F306" s="123"/>
      <c r="G306" s="123"/>
      <c r="H306" s="123"/>
      <c r="I306" s="123"/>
      <c r="J306" s="123"/>
      <c r="K306" s="123"/>
      <c r="L306" s="123"/>
      <c r="M306" s="123"/>
      <c r="N306" s="123"/>
      <c r="O306" s="123"/>
      <c r="P306" s="123"/>
      <c r="Q306" s="122"/>
      <c r="R306" s="122"/>
    </row>
    <row r="307" spans="3:18" s="12" customFormat="1" ht="14.25" customHeight="1">
      <c r="C307" s="126" t="s">
        <v>181</v>
      </c>
      <c r="D307" s="131">
        <f>L86</f>
        <v>6</v>
      </c>
      <c r="E307" s="125" t="s">
        <v>76</v>
      </c>
      <c r="F307" s="131">
        <f>N88</f>
        <v>12.5</v>
      </c>
      <c r="G307" s="125" t="s">
        <v>76</v>
      </c>
      <c r="H307" s="131">
        <f>N89</f>
        <v>3.9</v>
      </c>
      <c r="I307" s="125" t="s">
        <v>76</v>
      </c>
      <c r="J307" s="131">
        <f>L95</f>
        <v>6.5</v>
      </c>
      <c r="K307" s="125" t="s">
        <v>76</v>
      </c>
      <c r="L307" s="131">
        <f>L94</f>
        <v>16.899999999999999</v>
      </c>
      <c r="M307" s="125" t="s">
        <v>76</v>
      </c>
      <c r="N307" s="131">
        <f>L97</f>
        <v>12.7</v>
      </c>
      <c r="O307" s="125" t="s">
        <v>186</v>
      </c>
      <c r="P307" s="125">
        <v>1.7</v>
      </c>
      <c r="Q307" s="125"/>
      <c r="R307" s="125"/>
    </row>
    <row r="308" spans="3:18" s="12" customFormat="1" ht="14.25" hidden="1" customHeight="1">
      <c r="C308" s="126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</row>
    <row r="309" spans="3:18" s="12" customFormat="1" ht="14.25" hidden="1" customHeight="1">
      <c r="C309" s="126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</row>
    <row r="310" spans="3:18" ht="14.25" customHeight="1">
      <c r="C310" s="127"/>
      <c r="D310" s="123"/>
      <c r="E310" s="123"/>
      <c r="F310" s="123"/>
      <c r="G310" s="123"/>
      <c r="H310" s="123"/>
      <c r="I310" s="123"/>
      <c r="J310" s="123"/>
      <c r="K310" s="123"/>
      <c r="L310" s="123"/>
      <c r="M310" s="123"/>
      <c r="N310" s="123"/>
      <c r="O310" s="128"/>
      <c r="P310" s="123"/>
      <c r="Q310" s="123"/>
      <c r="R310" s="123"/>
    </row>
    <row r="311" spans="3:18" ht="14.25" customHeight="1" thickBot="1">
      <c r="C311" s="123" t="s">
        <v>182</v>
      </c>
      <c r="D311" s="129">
        <f>ROUND(($D$307+$F$307+$H$307+$J$307+$L$307+$N$307)*$P$307,0)</f>
        <v>99</v>
      </c>
      <c r="E311" s="130" t="s">
        <v>183</v>
      </c>
      <c r="F311" s="122"/>
      <c r="G311" s="122"/>
      <c r="H311" s="122"/>
      <c r="I311" s="122"/>
      <c r="J311" s="122"/>
      <c r="K311" s="122"/>
      <c r="L311" s="122"/>
      <c r="M311" s="122"/>
      <c r="N311" s="122"/>
      <c r="O311" s="122"/>
      <c r="P311" s="122"/>
      <c r="Q311" s="123"/>
      <c r="R311" s="123"/>
    </row>
  </sheetData>
  <mergeCells count="234">
    <mergeCell ref="C196:D196"/>
    <mergeCell ref="C197:D197"/>
    <mergeCell ref="E203:K203"/>
    <mergeCell ref="C190:D190"/>
    <mergeCell ref="C191:D191"/>
    <mergeCell ref="C192:D192"/>
    <mergeCell ref="C193:D193"/>
    <mergeCell ref="C194:D194"/>
    <mergeCell ref="C195:D195"/>
    <mergeCell ref="D110:E110"/>
    <mergeCell ref="C185:D185"/>
    <mergeCell ref="C186:D186"/>
    <mergeCell ref="C187:D187"/>
    <mergeCell ref="C188:D188"/>
    <mergeCell ref="C189:D189"/>
    <mergeCell ref="B105:F105"/>
    <mergeCell ref="G105:H105"/>
    <mergeCell ref="I105:J105"/>
    <mergeCell ref="L105:M105"/>
    <mergeCell ref="N105:O105"/>
    <mergeCell ref="B106:F106"/>
    <mergeCell ref="G106:H106"/>
    <mergeCell ref="I106:J106"/>
    <mergeCell ref="L106:M106"/>
    <mergeCell ref="N106:O106"/>
    <mergeCell ref="B103:F103"/>
    <mergeCell ref="G103:H103"/>
    <mergeCell ref="I103:J103"/>
    <mergeCell ref="L103:M103"/>
    <mergeCell ref="N103:O103"/>
    <mergeCell ref="B104:F104"/>
    <mergeCell ref="G104:H104"/>
    <mergeCell ref="I104:J104"/>
    <mergeCell ref="L104:M104"/>
    <mergeCell ref="N104:O104"/>
    <mergeCell ref="C101:F101"/>
    <mergeCell ref="G101:H101"/>
    <mergeCell ref="I101:J101"/>
    <mergeCell ref="L101:M101"/>
    <mergeCell ref="N101:O101"/>
    <mergeCell ref="C102:F102"/>
    <mergeCell ref="G102:H102"/>
    <mergeCell ref="I102:J102"/>
    <mergeCell ref="L102:M102"/>
    <mergeCell ref="N102:O102"/>
    <mergeCell ref="B99:F99"/>
    <mergeCell ref="G99:H99"/>
    <mergeCell ref="I99:J99"/>
    <mergeCell ref="L99:M99"/>
    <mergeCell ref="N99:O99"/>
    <mergeCell ref="C100:F100"/>
    <mergeCell ref="G100:H100"/>
    <mergeCell ref="I100:J100"/>
    <mergeCell ref="L100:M100"/>
    <mergeCell ref="N100:O100"/>
    <mergeCell ref="B97:F97"/>
    <mergeCell ref="G97:H97"/>
    <mergeCell ref="I97:J97"/>
    <mergeCell ref="L97:M97"/>
    <mergeCell ref="N97:O97"/>
    <mergeCell ref="B98:F98"/>
    <mergeCell ref="G98:H98"/>
    <mergeCell ref="I98:J98"/>
    <mergeCell ref="L98:M98"/>
    <mergeCell ref="N98:O98"/>
    <mergeCell ref="B95:F95"/>
    <mergeCell ref="G95:H95"/>
    <mergeCell ref="I95:J95"/>
    <mergeCell ref="L95:M95"/>
    <mergeCell ref="N95:O95"/>
    <mergeCell ref="B96:F96"/>
    <mergeCell ref="G96:H96"/>
    <mergeCell ref="I96:J96"/>
    <mergeCell ref="L96:M96"/>
    <mergeCell ref="N96:O96"/>
    <mergeCell ref="B93:F93"/>
    <mergeCell ref="G93:H93"/>
    <mergeCell ref="I93:J93"/>
    <mergeCell ref="L93:M93"/>
    <mergeCell ref="N93:O93"/>
    <mergeCell ref="B94:F94"/>
    <mergeCell ref="G94:H94"/>
    <mergeCell ref="I94:J94"/>
    <mergeCell ref="L94:M94"/>
    <mergeCell ref="N94:O94"/>
    <mergeCell ref="C91:F91"/>
    <mergeCell ref="G91:H91"/>
    <mergeCell ref="I91:J91"/>
    <mergeCell ref="L91:M91"/>
    <mergeCell ref="N91:O91"/>
    <mergeCell ref="C92:F92"/>
    <mergeCell ref="G92:H92"/>
    <mergeCell ref="I92:J92"/>
    <mergeCell ref="L92:M92"/>
    <mergeCell ref="N92:O92"/>
    <mergeCell ref="C89:F89"/>
    <mergeCell ref="G89:H89"/>
    <mergeCell ref="I89:J89"/>
    <mergeCell ref="L89:M89"/>
    <mergeCell ref="N89:O89"/>
    <mergeCell ref="C90:F90"/>
    <mergeCell ref="G90:H90"/>
    <mergeCell ref="I90:J90"/>
    <mergeCell ref="L90:M90"/>
    <mergeCell ref="N90:O90"/>
    <mergeCell ref="B87:F87"/>
    <mergeCell ref="G87:H87"/>
    <mergeCell ref="I87:J87"/>
    <mergeCell ref="L87:M87"/>
    <mergeCell ref="N87:O87"/>
    <mergeCell ref="C88:F88"/>
    <mergeCell ref="G88:H88"/>
    <mergeCell ref="I88:J88"/>
    <mergeCell ref="L88:M88"/>
    <mergeCell ref="N88:O88"/>
    <mergeCell ref="B85:F85"/>
    <mergeCell ref="G85:H85"/>
    <mergeCell ref="I85:J85"/>
    <mergeCell ref="L85:M85"/>
    <mergeCell ref="N85:O85"/>
    <mergeCell ref="B86:F86"/>
    <mergeCell ref="G86:H86"/>
    <mergeCell ref="I86:J86"/>
    <mergeCell ref="L86:M86"/>
    <mergeCell ref="N86:O86"/>
    <mergeCell ref="C83:F83"/>
    <mergeCell ref="G83:H83"/>
    <mergeCell ref="I83:J83"/>
    <mergeCell ref="L83:M83"/>
    <mergeCell ref="N83:O83"/>
    <mergeCell ref="C84:F84"/>
    <mergeCell ref="G84:H84"/>
    <mergeCell ref="I84:J84"/>
    <mergeCell ref="L84:M84"/>
    <mergeCell ref="N84:O84"/>
    <mergeCell ref="C81:F81"/>
    <mergeCell ref="G81:H81"/>
    <mergeCell ref="I81:J81"/>
    <mergeCell ref="L81:M81"/>
    <mergeCell ref="N81:O81"/>
    <mergeCell ref="B82:F82"/>
    <mergeCell ref="G82:H82"/>
    <mergeCell ref="I82:J82"/>
    <mergeCell ref="L82:M82"/>
    <mergeCell ref="N82:O82"/>
    <mergeCell ref="C79:F79"/>
    <mergeCell ref="G79:H79"/>
    <mergeCell ref="I79:J79"/>
    <mergeCell ref="L79:M79"/>
    <mergeCell ref="N79:O79"/>
    <mergeCell ref="C80:F80"/>
    <mergeCell ref="G80:H80"/>
    <mergeCell ref="I80:J80"/>
    <mergeCell ref="L80:M80"/>
    <mergeCell ref="N80:O80"/>
    <mergeCell ref="C77:F77"/>
    <mergeCell ref="G77:H77"/>
    <mergeCell ref="I77:J77"/>
    <mergeCell ref="L77:M77"/>
    <mergeCell ref="N77:O77"/>
    <mergeCell ref="B78:F78"/>
    <mergeCell ref="G78:H78"/>
    <mergeCell ref="I78:J78"/>
    <mergeCell ref="L78:M78"/>
    <mergeCell ref="N78:O78"/>
    <mergeCell ref="C75:F75"/>
    <mergeCell ref="G75:H75"/>
    <mergeCell ref="I75:J75"/>
    <mergeCell ref="L75:M75"/>
    <mergeCell ref="N75:O75"/>
    <mergeCell ref="C76:F76"/>
    <mergeCell ref="G76:H76"/>
    <mergeCell ref="I76:J76"/>
    <mergeCell ref="L76:M76"/>
    <mergeCell ref="N76:O76"/>
    <mergeCell ref="C73:F73"/>
    <mergeCell ref="G73:H73"/>
    <mergeCell ref="I73:J73"/>
    <mergeCell ref="L73:M73"/>
    <mergeCell ref="N73:O73"/>
    <mergeCell ref="C74:F74"/>
    <mergeCell ref="G74:H74"/>
    <mergeCell ref="I74:J74"/>
    <mergeCell ref="L74:M74"/>
    <mergeCell ref="N74:O74"/>
    <mergeCell ref="L71:O71"/>
    <mergeCell ref="B72:F72"/>
    <mergeCell ref="G72:H72"/>
    <mergeCell ref="I72:J72"/>
    <mergeCell ref="L72:M72"/>
    <mergeCell ref="N72:O72"/>
    <mergeCell ref="C33:E33"/>
    <mergeCell ref="G33:H33"/>
    <mergeCell ref="J33:K33"/>
    <mergeCell ref="B34:F34"/>
    <mergeCell ref="G34:H34"/>
    <mergeCell ref="B71:F71"/>
    <mergeCell ref="G71:J71"/>
    <mergeCell ref="C31:E31"/>
    <mergeCell ref="G31:H31"/>
    <mergeCell ref="J31:K31"/>
    <mergeCell ref="C32:E32"/>
    <mergeCell ref="G32:H32"/>
    <mergeCell ref="J32:K32"/>
    <mergeCell ref="C29:E29"/>
    <mergeCell ref="G29:H29"/>
    <mergeCell ref="J29:K29"/>
    <mergeCell ref="C30:E30"/>
    <mergeCell ref="G30:H30"/>
    <mergeCell ref="J30:K30"/>
    <mergeCell ref="B27:D27"/>
    <mergeCell ref="G27:H27"/>
    <mergeCell ref="J27:K27"/>
    <mergeCell ref="C28:E28"/>
    <mergeCell ref="G28:H28"/>
    <mergeCell ref="J28:K28"/>
    <mergeCell ref="B16:C16"/>
    <mergeCell ref="F16:G16"/>
    <mergeCell ref="B18:D18"/>
    <mergeCell ref="B19:D19"/>
    <mergeCell ref="B21:D21"/>
    <mergeCell ref="G26:L26"/>
    <mergeCell ref="B12:C12"/>
    <mergeCell ref="F12:G12"/>
    <mergeCell ref="J12:K12"/>
    <mergeCell ref="B14:C14"/>
    <mergeCell ref="F14:G14"/>
    <mergeCell ref="J14:K14"/>
    <mergeCell ref="B7:C7"/>
    <mergeCell ref="F7:G7"/>
    <mergeCell ref="B8:C8"/>
    <mergeCell ref="B10:C10"/>
    <mergeCell ref="F10:G10"/>
    <mergeCell ref="J10:K10"/>
  </mergeCells>
  <phoneticPr fontId="3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12"/>
  <sheetViews>
    <sheetView workbookViewId="0">
      <selection activeCell="Q9" sqref="Q9"/>
    </sheetView>
  </sheetViews>
  <sheetFormatPr defaultColWidth="5.625" defaultRowHeight="12"/>
  <cols>
    <col min="1" max="3" width="5.625" style="141"/>
    <col min="4" max="5" width="7.625" style="141" bestFit="1" customWidth="1"/>
    <col min="6" max="6" width="6.875" style="141" customWidth="1"/>
    <col min="7" max="7" width="7.25" style="141" customWidth="1"/>
    <col min="8" max="8" width="6.5" style="141" bestFit="1" customWidth="1"/>
    <col min="9" max="9" width="5.625" style="141"/>
    <col min="10" max="10" width="5.875" style="141" bestFit="1" customWidth="1"/>
    <col min="11" max="11" width="5.625" style="141"/>
    <col min="12" max="12" width="6.5" style="141" bestFit="1" customWidth="1"/>
    <col min="13" max="17" width="5.625" style="141"/>
    <col min="18" max="18" width="5.625" style="141" customWidth="1"/>
    <col min="19" max="34" width="5.625" style="141"/>
    <col min="35" max="39" width="5.625" style="141" customWidth="1"/>
    <col min="40" max="259" width="5.625" style="141"/>
    <col min="260" max="261" width="7.625" style="141" bestFit="1" customWidth="1"/>
    <col min="262" max="262" width="6.875" style="141" customWidth="1"/>
    <col min="263" max="263" width="7.25" style="141" customWidth="1"/>
    <col min="264" max="264" width="6.5" style="141" bestFit="1" customWidth="1"/>
    <col min="265" max="265" width="5.625" style="141"/>
    <col min="266" max="266" width="5.875" style="141" bestFit="1" customWidth="1"/>
    <col min="267" max="267" width="5.625" style="141"/>
    <col min="268" max="268" width="6.5" style="141" bestFit="1" customWidth="1"/>
    <col min="269" max="273" width="5.625" style="141"/>
    <col min="274" max="274" width="5.625" style="141" customWidth="1"/>
    <col min="275" max="290" width="5.625" style="141"/>
    <col min="291" max="295" width="5.625" style="141" customWidth="1"/>
    <col min="296" max="515" width="5.625" style="141"/>
    <col min="516" max="517" width="7.625" style="141" bestFit="1" customWidth="1"/>
    <col min="518" max="518" width="6.875" style="141" customWidth="1"/>
    <col min="519" max="519" width="7.25" style="141" customWidth="1"/>
    <col min="520" max="520" width="6.5" style="141" bestFit="1" customWidth="1"/>
    <col min="521" max="521" width="5.625" style="141"/>
    <col min="522" max="522" width="5.875" style="141" bestFit="1" customWidth="1"/>
    <col min="523" max="523" width="5.625" style="141"/>
    <col min="524" max="524" width="6.5" style="141" bestFit="1" customWidth="1"/>
    <col min="525" max="529" width="5.625" style="141"/>
    <col min="530" max="530" width="5.625" style="141" customWidth="1"/>
    <col min="531" max="546" width="5.625" style="141"/>
    <col min="547" max="551" width="5.625" style="141" customWidth="1"/>
    <col min="552" max="771" width="5.625" style="141"/>
    <col min="772" max="773" width="7.625" style="141" bestFit="1" customWidth="1"/>
    <col min="774" max="774" width="6.875" style="141" customWidth="1"/>
    <col min="775" max="775" width="7.25" style="141" customWidth="1"/>
    <col min="776" max="776" width="6.5" style="141" bestFit="1" customWidth="1"/>
    <col min="777" max="777" width="5.625" style="141"/>
    <col min="778" max="778" width="5.875" style="141" bestFit="1" customWidth="1"/>
    <col min="779" max="779" width="5.625" style="141"/>
    <col min="780" max="780" width="6.5" style="141" bestFit="1" customWidth="1"/>
    <col min="781" max="785" width="5.625" style="141"/>
    <col min="786" max="786" width="5.625" style="141" customWidth="1"/>
    <col min="787" max="802" width="5.625" style="141"/>
    <col min="803" max="807" width="5.625" style="141" customWidth="1"/>
    <col min="808" max="1027" width="5.625" style="141"/>
    <col min="1028" max="1029" width="7.625" style="141" bestFit="1" customWidth="1"/>
    <col min="1030" max="1030" width="6.875" style="141" customWidth="1"/>
    <col min="1031" max="1031" width="7.25" style="141" customWidth="1"/>
    <col min="1032" max="1032" width="6.5" style="141" bestFit="1" customWidth="1"/>
    <col min="1033" max="1033" width="5.625" style="141"/>
    <col min="1034" max="1034" width="5.875" style="141" bestFit="1" customWidth="1"/>
    <col min="1035" max="1035" width="5.625" style="141"/>
    <col min="1036" max="1036" width="6.5" style="141" bestFit="1" customWidth="1"/>
    <col min="1037" max="1041" width="5.625" style="141"/>
    <col min="1042" max="1042" width="5.625" style="141" customWidth="1"/>
    <col min="1043" max="1058" width="5.625" style="141"/>
    <col min="1059" max="1063" width="5.625" style="141" customWidth="1"/>
    <col min="1064" max="1283" width="5.625" style="141"/>
    <col min="1284" max="1285" width="7.625" style="141" bestFit="1" customWidth="1"/>
    <col min="1286" max="1286" width="6.875" style="141" customWidth="1"/>
    <col min="1287" max="1287" width="7.25" style="141" customWidth="1"/>
    <col min="1288" max="1288" width="6.5" style="141" bestFit="1" customWidth="1"/>
    <col min="1289" max="1289" width="5.625" style="141"/>
    <col min="1290" max="1290" width="5.875" style="141" bestFit="1" customWidth="1"/>
    <col min="1291" max="1291" width="5.625" style="141"/>
    <col min="1292" max="1292" width="6.5" style="141" bestFit="1" customWidth="1"/>
    <col min="1293" max="1297" width="5.625" style="141"/>
    <col min="1298" max="1298" width="5.625" style="141" customWidth="1"/>
    <col min="1299" max="1314" width="5.625" style="141"/>
    <col min="1315" max="1319" width="5.625" style="141" customWidth="1"/>
    <col min="1320" max="1539" width="5.625" style="141"/>
    <col min="1540" max="1541" width="7.625" style="141" bestFit="1" customWidth="1"/>
    <col min="1542" max="1542" width="6.875" style="141" customWidth="1"/>
    <col min="1543" max="1543" width="7.25" style="141" customWidth="1"/>
    <col min="1544" max="1544" width="6.5" style="141" bestFit="1" customWidth="1"/>
    <col min="1545" max="1545" width="5.625" style="141"/>
    <col min="1546" max="1546" width="5.875" style="141" bestFit="1" customWidth="1"/>
    <col min="1547" max="1547" width="5.625" style="141"/>
    <col min="1548" max="1548" width="6.5" style="141" bestFit="1" customWidth="1"/>
    <col min="1549" max="1553" width="5.625" style="141"/>
    <col min="1554" max="1554" width="5.625" style="141" customWidth="1"/>
    <col min="1555" max="1570" width="5.625" style="141"/>
    <col min="1571" max="1575" width="5.625" style="141" customWidth="1"/>
    <col min="1576" max="1795" width="5.625" style="141"/>
    <col min="1796" max="1797" width="7.625" style="141" bestFit="1" customWidth="1"/>
    <col min="1798" max="1798" width="6.875" style="141" customWidth="1"/>
    <col min="1799" max="1799" width="7.25" style="141" customWidth="1"/>
    <col min="1800" max="1800" width="6.5" style="141" bestFit="1" customWidth="1"/>
    <col min="1801" max="1801" width="5.625" style="141"/>
    <col min="1802" max="1802" width="5.875" style="141" bestFit="1" customWidth="1"/>
    <col min="1803" max="1803" width="5.625" style="141"/>
    <col min="1804" max="1804" width="6.5" style="141" bestFit="1" customWidth="1"/>
    <col min="1805" max="1809" width="5.625" style="141"/>
    <col min="1810" max="1810" width="5.625" style="141" customWidth="1"/>
    <col min="1811" max="1826" width="5.625" style="141"/>
    <col min="1827" max="1831" width="5.625" style="141" customWidth="1"/>
    <col min="1832" max="2051" width="5.625" style="141"/>
    <col min="2052" max="2053" width="7.625" style="141" bestFit="1" customWidth="1"/>
    <col min="2054" max="2054" width="6.875" style="141" customWidth="1"/>
    <col min="2055" max="2055" width="7.25" style="141" customWidth="1"/>
    <col min="2056" max="2056" width="6.5" style="141" bestFit="1" customWidth="1"/>
    <col min="2057" max="2057" width="5.625" style="141"/>
    <col min="2058" max="2058" width="5.875" style="141" bestFit="1" customWidth="1"/>
    <col min="2059" max="2059" width="5.625" style="141"/>
    <col min="2060" max="2060" width="6.5" style="141" bestFit="1" customWidth="1"/>
    <col min="2061" max="2065" width="5.625" style="141"/>
    <col min="2066" max="2066" width="5.625" style="141" customWidth="1"/>
    <col min="2067" max="2082" width="5.625" style="141"/>
    <col min="2083" max="2087" width="5.625" style="141" customWidth="1"/>
    <col min="2088" max="2307" width="5.625" style="141"/>
    <col min="2308" max="2309" width="7.625" style="141" bestFit="1" customWidth="1"/>
    <col min="2310" max="2310" width="6.875" style="141" customWidth="1"/>
    <col min="2311" max="2311" width="7.25" style="141" customWidth="1"/>
    <col min="2312" max="2312" width="6.5" style="141" bestFit="1" customWidth="1"/>
    <col min="2313" max="2313" width="5.625" style="141"/>
    <col min="2314" max="2314" width="5.875" style="141" bestFit="1" customWidth="1"/>
    <col min="2315" max="2315" width="5.625" style="141"/>
    <col min="2316" max="2316" width="6.5" style="141" bestFit="1" customWidth="1"/>
    <col min="2317" max="2321" width="5.625" style="141"/>
    <col min="2322" max="2322" width="5.625" style="141" customWidth="1"/>
    <col min="2323" max="2338" width="5.625" style="141"/>
    <col min="2339" max="2343" width="5.625" style="141" customWidth="1"/>
    <col min="2344" max="2563" width="5.625" style="141"/>
    <col min="2564" max="2565" width="7.625" style="141" bestFit="1" customWidth="1"/>
    <col min="2566" max="2566" width="6.875" style="141" customWidth="1"/>
    <col min="2567" max="2567" width="7.25" style="141" customWidth="1"/>
    <col min="2568" max="2568" width="6.5" style="141" bestFit="1" customWidth="1"/>
    <col min="2569" max="2569" width="5.625" style="141"/>
    <col min="2570" max="2570" width="5.875" style="141" bestFit="1" customWidth="1"/>
    <col min="2571" max="2571" width="5.625" style="141"/>
    <col min="2572" max="2572" width="6.5" style="141" bestFit="1" customWidth="1"/>
    <col min="2573" max="2577" width="5.625" style="141"/>
    <col min="2578" max="2578" width="5.625" style="141" customWidth="1"/>
    <col min="2579" max="2594" width="5.625" style="141"/>
    <col min="2595" max="2599" width="5.625" style="141" customWidth="1"/>
    <col min="2600" max="2819" width="5.625" style="141"/>
    <col min="2820" max="2821" width="7.625" style="141" bestFit="1" customWidth="1"/>
    <col min="2822" max="2822" width="6.875" style="141" customWidth="1"/>
    <col min="2823" max="2823" width="7.25" style="141" customWidth="1"/>
    <col min="2824" max="2824" width="6.5" style="141" bestFit="1" customWidth="1"/>
    <col min="2825" max="2825" width="5.625" style="141"/>
    <col min="2826" max="2826" width="5.875" style="141" bestFit="1" customWidth="1"/>
    <col min="2827" max="2827" width="5.625" style="141"/>
    <col min="2828" max="2828" width="6.5" style="141" bestFit="1" customWidth="1"/>
    <col min="2829" max="2833" width="5.625" style="141"/>
    <col min="2834" max="2834" width="5.625" style="141" customWidth="1"/>
    <col min="2835" max="2850" width="5.625" style="141"/>
    <col min="2851" max="2855" width="5.625" style="141" customWidth="1"/>
    <col min="2856" max="3075" width="5.625" style="141"/>
    <col min="3076" max="3077" width="7.625" style="141" bestFit="1" customWidth="1"/>
    <col min="3078" max="3078" width="6.875" style="141" customWidth="1"/>
    <col min="3079" max="3079" width="7.25" style="141" customWidth="1"/>
    <col min="3080" max="3080" width="6.5" style="141" bestFit="1" customWidth="1"/>
    <col min="3081" max="3081" width="5.625" style="141"/>
    <col min="3082" max="3082" width="5.875" style="141" bestFit="1" customWidth="1"/>
    <col min="3083" max="3083" width="5.625" style="141"/>
    <col min="3084" max="3084" width="6.5" style="141" bestFit="1" customWidth="1"/>
    <col min="3085" max="3089" width="5.625" style="141"/>
    <col min="3090" max="3090" width="5.625" style="141" customWidth="1"/>
    <col min="3091" max="3106" width="5.625" style="141"/>
    <col min="3107" max="3111" width="5.625" style="141" customWidth="1"/>
    <col min="3112" max="3331" width="5.625" style="141"/>
    <col min="3332" max="3333" width="7.625" style="141" bestFit="1" customWidth="1"/>
    <col min="3334" max="3334" width="6.875" style="141" customWidth="1"/>
    <col min="3335" max="3335" width="7.25" style="141" customWidth="1"/>
    <col min="3336" max="3336" width="6.5" style="141" bestFit="1" customWidth="1"/>
    <col min="3337" max="3337" width="5.625" style="141"/>
    <col min="3338" max="3338" width="5.875" style="141" bestFit="1" customWidth="1"/>
    <col min="3339" max="3339" width="5.625" style="141"/>
    <col min="3340" max="3340" width="6.5" style="141" bestFit="1" customWidth="1"/>
    <col min="3341" max="3345" width="5.625" style="141"/>
    <col min="3346" max="3346" width="5.625" style="141" customWidth="1"/>
    <col min="3347" max="3362" width="5.625" style="141"/>
    <col min="3363" max="3367" width="5.625" style="141" customWidth="1"/>
    <col min="3368" max="3587" width="5.625" style="141"/>
    <col min="3588" max="3589" width="7.625" style="141" bestFit="1" customWidth="1"/>
    <col min="3590" max="3590" width="6.875" style="141" customWidth="1"/>
    <col min="3591" max="3591" width="7.25" style="141" customWidth="1"/>
    <col min="3592" max="3592" width="6.5" style="141" bestFit="1" customWidth="1"/>
    <col min="3593" max="3593" width="5.625" style="141"/>
    <col min="3594" max="3594" width="5.875" style="141" bestFit="1" customWidth="1"/>
    <col min="3595" max="3595" width="5.625" style="141"/>
    <col min="3596" max="3596" width="6.5" style="141" bestFit="1" customWidth="1"/>
    <col min="3597" max="3601" width="5.625" style="141"/>
    <col min="3602" max="3602" width="5.625" style="141" customWidth="1"/>
    <col min="3603" max="3618" width="5.625" style="141"/>
    <col min="3619" max="3623" width="5.625" style="141" customWidth="1"/>
    <col min="3624" max="3843" width="5.625" style="141"/>
    <col min="3844" max="3845" width="7.625" style="141" bestFit="1" customWidth="1"/>
    <col min="3846" max="3846" width="6.875" style="141" customWidth="1"/>
    <col min="3847" max="3847" width="7.25" style="141" customWidth="1"/>
    <col min="3848" max="3848" width="6.5" style="141" bestFit="1" customWidth="1"/>
    <col min="3849" max="3849" width="5.625" style="141"/>
    <col min="3850" max="3850" width="5.875" style="141" bestFit="1" customWidth="1"/>
    <col min="3851" max="3851" width="5.625" style="141"/>
    <col min="3852" max="3852" width="6.5" style="141" bestFit="1" customWidth="1"/>
    <col min="3853" max="3857" width="5.625" style="141"/>
    <col min="3858" max="3858" width="5.625" style="141" customWidth="1"/>
    <col min="3859" max="3874" width="5.625" style="141"/>
    <col min="3875" max="3879" width="5.625" style="141" customWidth="1"/>
    <col min="3880" max="4099" width="5.625" style="141"/>
    <col min="4100" max="4101" width="7.625" style="141" bestFit="1" customWidth="1"/>
    <col min="4102" max="4102" width="6.875" style="141" customWidth="1"/>
    <col min="4103" max="4103" width="7.25" style="141" customWidth="1"/>
    <col min="4104" max="4104" width="6.5" style="141" bestFit="1" customWidth="1"/>
    <col min="4105" max="4105" width="5.625" style="141"/>
    <col min="4106" max="4106" width="5.875" style="141" bestFit="1" customWidth="1"/>
    <col min="4107" max="4107" width="5.625" style="141"/>
    <col min="4108" max="4108" width="6.5" style="141" bestFit="1" customWidth="1"/>
    <col min="4109" max="4113" width="5.625" style="141"/>
    <col min="4114" max="4114" width="5.625" style="141" customWidth="1"/>
    <col min="4115" max="4130" width="5.625" style="141"/>
    <col min="4131" max="4135" width="5.625" style="141" customWidth="1"/>
    <col min="4136" max="4355" width="5.625" style="141"/>
    <col min="4356" max="4357" width="7.625" style="141" bestFit="1" customWidth="1"/>
    <col min="4358" max="4358" width="6.875" style="141" customWidth="1"/>
    <col min="4359" max="4359" width="7.25" style="141" customWidth="1"/>
    <col min="4360" max="4360" width="6.5" style="141" bestFit="1" customWidth="1"/>
    <col min="4361" max="4361" width="5.625" style="141"/>
    <col min="4362" max="4362" width="5.875" style="141" bestFit="1" customWidth="1"/>
    <col min="4363" max="4363" width="5.625" style="141"/>
    <col min="4364" max="4364" width="6.5" style="141" bestFit="1" customWidth="1"/>
    <col min="4365" max="4369" width="5.625" style="141"/>
    <col min="4370" max="4370" width="5.625" style="141" customWidth="1"/>
    <col min="4371" max="4386" width="5.625" style="141"/>
    <col min="4387" max="4391" width="5.625" style="141" customWidth="1"/>
    <col min="4392" max="4611" width="5.625" style="141"/>
    <col min="4612" max="4613" width="7.625" style="141" bestFit="1" customWidth="1"/>
    <col min="4614" max="4614" width="6.875" style="141" customWidth="1"/>
    <col min="4615" max="4615" width="7.25" style="141" customWidth="1"/>
    <col min="4616" max="4616" width="6.5" style="141" bestFit="1" customWidth="1"/>
    <col min="4617" max="4617" width="5.625" style="141"/>
    <col min="4618" max="4618" width="5.875" style="141" bestFit="1" customWidth="1"/>
    <col min="4619" max="4619" width="5.625" style="141"/>
    <col min="4620" max="4620" width="6.5" style="141" bestFit="1" customWidth="1"/>
    <col min="4621" max="4625" width="5.625" style="141"/>
    <col min="4626" max="4626" width="5.625" style="141" customWidth="1"/>
    <col min="4627" max="4642" width="5.625" style="141"/>
    <col min="4643" max="4647" width="5.625" style="141" customWidth="1"/>
    <col min="4648" max="4867" width="5.625" style="141"/>
    <col min="4868" max="4869" width="7.625" style="141" bestFit="1" customWidth="1"/>
    <col min="4870" max="4870" width="6.875" style="141" customWidth="1"/>
    <col min="4871" max="4871" width="7.25" style="141" customWidth="1"/>
    <col min="4872" max="4872" width="6.5" style="141" bestFit="1" customWidth="1"/>
    <col min="4873" max="4873" width="5.625" style="141"/>
    <col min="4874" max="4874" width="5.875" style="141" bestFit="1" customWidth="1"/>
    <col min="4875" max="4875" width="5.625" style="141"/>
    <col min="4876" max="4876" width="6.5" style="141" bestFit="1" customWidth="1"/>
    <col min="4877" max="4881" width="5.625" style="141"/>
    <col min="4882" max="4882" width="5.625" style="141" customWidth="1"/>
    <col min="4883" max="4898" width="5.625" style="141"/>
    <col min="4899" max="4903" width="5.625" style="141" customWidth="1"/>
    <col min="4904" max="5123" width="5.625" style="141"/>
    <col min="5124" max="5125" width="7.625" style="141" bestFit="1" customWidth="1"/>
    <col min="5126" max="5126" width="6.875" style="141" customWidth="1"/>
    <col min="5127" max="5127" width="7.25" style="141" customWidth="1"/>
    <col min="5128" max="5128" width="6.5" style="141" bestFit="1" customWidth="1"/>
    <col min="5129" max="5129" width="5.625" style="141"/>
    <col min="5130" max="5130" width="5.875" style="141" bestFit="1" customWidth="1"/>
    <col min="5131" max="5131" width="5.625" style="141"/>
    <col min="5132" max="5132" width="6.5" style="141" bestFit="1" customWidth="1"/>
    <col min="5133" max="5137" width="5.625" style="141"/>
    <col min="5138" max="5138" width="5.625" style="141" customWidth="1"/>
    <col min="5139" max="5154" width="5.625" style="141"/>
    <col min="5155" max="5159" width="5.625" style="141" customWidth="1"/>
    <col min="5160" max="5379" width="5.625" style="141"/>
    <col min="5380" max="5381" width="7.625" style="141" bestFit="1" customWidth="1"/>
    <col min="5382" max="5382" width="6.875" style="141" customWidth="1"/>
    <col min="5383" max="5383" width="7.25" style="141" customWidth="1"/>
    <col min="5384" max="5384" width="6.5" style="141" bestFit="1" customWidth="1"/>
    <col min="5385" max="5385" width="5.625" style="141"/>
    <col min="5386" max="5386" width="5.875" style="141" bestFit="1" customWidth="1"/>
    <col min="5387" max="5387" width="5.625" style="141"/>
    <col min="5388" max="5388" width="6.5" style="141" bestFit="1" customWidth="1"/>
    <col min="5389" max="5393" width="5.625" style="141"/>
    <col min="5394" max="5394" width="5.625" style="141" customWidth="1"/>
    <col min="5395" max="5410" width="5.625" style="141"/>
    <col min="5411" max="5415" width="5.625" style="141" customWidth="1"/>
    <col min="5416" max="5635" width="5.625" style="141"/>
    <col min="5636" max="5637" width="7.625" style="141" bestFit="1" customWidth="1"/>
    <col min="5638" max="5638" width="6.875" style="141" customWidth="1"/>
    <col min="5639" max="5639" width="7.25" style="141" customWidth="1"/>
    <col min="5640" max="5640" width="6.5" style="141" bestFit="1" customWidth="1"/>
    <col min="5641" max="5641" width="5.625" style="141"/>
    <col min="5642" max="5642" width="5.875" style="141" bestFit="1" customWidth="1"/>
    <col min="5643" max="5643" width="5.625" style="141"/>
    <col min="5644" max="5644" width="6.5" style="141" bestFit="1" customWidth="1"/>
    <col min="5645" max="5649" width="5.625" style="141"/>
    <col min="5650" max="5650" width="5.625" style="141" customWidth="1"/>
    <col min="5651" max="5666" width="5.625" style="141"/>
    <col min="5667" max="5671" width="5.625" style="141" customWidth="1"/>
    <col min="5672" max="5891" width="5.625" style="141"/>
    <col min="5892" max="5893" width="7.625" style="141" bestFit="1" customWidth="1"/>
    <col min="5894" max="5894" width="6.875" style="141" customWidth="1"/>
    <col min="5895" max="5895" width="7.25" style="141" customWidth="1"/>
    <col min="5896" max="5896" width="6.5" style="141" bestFit="1" customWidth="1"/>
    <col min="5897" max="5897" width="5.625" style="141"/>
    <col min="5898" max="5898" width="5.875" style="141" bestFit="1" customWidth="1"/>
    <col min="5899" max="5899" width="5.625" style="141"/>
    <col min="5900" max="5900" width="6.5" style="141" bestFit="1" customWidth="1"/>
    <col min="5901" max="5905" width="5.625" style="141"/>
    <col min="5906" max="5906" width="5.625" style="141" customWidth="1"/>
    <col min="5907" max="5922" width="5.625" style="141"/>
    <col min="5923" max="5927" width="5.625" style="141" customWidth="1"/>
    <col min="5928" max="6147" width="5.625" style="141"/>
    <col min="6148" max="6149" width="7.625" style="141" bestFit="1" customWidth="1"/>
    <col min="6150" max="6150" width="6.875" style="141" customWidth="1"/>
    <col min="6151" max="6151" width="7.25" style="141" customWidth="1"/>
    <col min="6152" max="6152" width="6.5" style="141" bestFit="1" customWidth="1"/>
    <col min="6153" max="6153" width="5.625" style="141"/>
    <col min="6154" max="6154" width="5.875" style="141" bestFit="1" customWidth="1"/>
    <col min="6155" max="6155" width="5.625" style="141"/>
    <col min="6156" max="6156" width="6.5" style="141" bestFit="1" customWidth="1"/>
    <col min="6157" max="6161" width="5.625" style="141"/>
    <col min="6162" max="6162" width="5.625" style="141" customWidth="1"/>
    <col min="6163" max="6178" width="5.625" style="141"/>
    <col min="6179" max="6183" width="5.625" style="141" customWidth="1"/>
    <col min="6184" max="6403" width="5.625" style="141"/>
    <col min="6404" max="6405" width="7.625" style="141" bestFit="1" customWidth="1"/>
    <col min="6406" max="6406" width="6.875" style="141" customWidth="1"/>
    <col min="6407" max="6407" width="7.25" style="141" customWidth="1"/>
    <col min="6408" max="6408" width="6.5" style="141" bestFit="1" customWidth="1"/>
    <col min="6409" max="6409" width="5.625" style="141"/>
    <col min="6410" max="6410" width="5.875" style="141" bestFit="1" customWidth="1"/>
    <col min="6411" max="6411" width="5.625" style="141"/>
    <col min="6412" max="6412" width="6.5" style="141" bestFit="1" customWidth="1"/>
    <col min="6413" max="6417" width="5.625" style="141"/>
    <col min="6418" max="6418" width="5.625" style="141" customWidth="1"/>
    <col min="6419" max="6434" width="5.625" style="141"/>
    <col min="6435" max="6439" width="5.625" style="141" customWidth="1"/>
    <col min="6440" max="6659" width="5.625" style="141"/>
    <col min="6660" max="6661" width="7.625" style="141" bestFit="1" customWidth="1"/>
    <col min="6662" max="6662" width="6.875" style="141" customWidth="1"/>
    <col min="6663" max="6663" width="7.25" style="141" customWidth="1"/>
    <col min="6664" max="6664" width="6.5" style="141" bestFit="1" customWidth="1"/>
    <col min="6665" max="6665" width="5.625" style="141"/>
    <col min="6666" max="6666" width="5.875" style="141" bestFit="1" customWidth="1"/>
    <col min="6667" max="6667" width="5.625" style="141"/>
    <col min="6668" max="6668" width="6.5" style="141" bestFit="1" customWidth="1"/>
    <col min="6669" max="6673" width="5.625" style="141"/>
    <col min="6674" max="6674" width="5.625" style="141" customWidth="1"/>
    <col min="6675" max="6690" width="5.625" style="141"/>
    <col min="6691" max="6695" width="5.625" style="141" customWidth="1"/>
    <col min="6696" max="6915" width="5.625" style="141"/>
    <col min="6916" max="6917" width="7.625" style="141" bestFit="1" customWidth="1"/>
    <col min="6918" max="6918" width="6.875" style="141" customWidth="1"/>
    <col min="6919" max="6919" width="7.25" style="141" customWidth="1"/>
    <col min="6920" max="6920" width="6.5" style="141" bestFit="1" customWidth="1"/>
    <col min="6921" max="6921" width="5.625" style="141"/>
    <col min="6922" max="6922" width="5.875" style="141" bestFit="1" customWidth="1"/>
    <col min="6923" max="6923" width="5.625" style="141"/>
    <col min="6924" max="6924" width="6.5" style="141" bestFit="1" customWidth="1"/>
    <col min="6925" max="6929" width="5.625" style="141"/>
    <col min="6930" max="6930" width="5.625" style="141" customWidth="1"/>
    <col min="6931" max="6946" width="5.625" style="141"/>
    <col min="6947" max="6951" width="5.625" style="141" customWidth="1"/>
    <col min="6952" max="7171" width="5.625" style="141"/>
    <col min="7172" max="7173" width="7.625" style="141" bestFit="1" customWidth="1"/>
    <col min="7174" max="7174" width="6.875" style="141" customWidth="1"/>
    <col min="7175" max="7175" width="7.25" style="141" customWidth="1"/>
    <col min="7176" max="7176" width="6.5" style="141" bestFit="1" customWidth="1"/>
    <col min="7177" max="7177" width="5.625" style="141"/>
    <col min="7178" max="7178" width="5.875" style="141" bestFit="1" customWidth="1"/>
    <col min="7179" max="7179" width="5.625" style="141"/>
    <col min="7180" max="7180" width="6.5" style="141" bestFit="1" customWidth="1"/>
    <col min="7181" max="7185" width="5.625" style="141"/>
    <col min="7186" max="7186" width="5.625" style="141" customWidth="1"/>
    <col min="7187" max="7202" width="5.625" style="141"/>
    <col min="7203" max="7207" width="5.625" style="141" customWidth="1"/>
    <col min="7208" max="7427" width="5.625" style="141"/>
    <col min="7428" max="7429" width="7.625" style="141" bestFit="1" customWidth="1"/>
    <col min="7430" max="7430" width="6.875" style="141" customWidth="1"/>
    <col min="7431" max="7431" width="7.25" style="141" customWidth="1"/>
    <col min="7432" max="7432" width="6.5" style="141" bestFit="1" customWidth="1"/>
    <col min="7433" max="7433" width="5.625" style="141"/>
    <col min="7434" max="7434" width="5.875" style="141" bestFit="1" customWidth="1"/>
    <col min="7435" max="7435" width="5.625" style="141"/>
    <col min="7436" max="7436" width="6.5" style="141" bestFit="1" customWidth="1"/>
    <col min="7437" max="7441" width="5.625" style="141"/>
    <col min="7442" max="7442" width="5.625" style="141" customWidth="1"/>
    <col min="7443" max="7458" width="5.625" style="141"/>
    <col min="7459" max="7463" width="5.625" style="141" customWidth="1"/>
    <col min="7464" max="7683" width="5.625" style="141"/>
    <col min="7684" max="7685" width="7.625" style="141" bestFit="1" customWidth="1"/>
    <col min="7686" max="7686" width="6.875" style="141" customWidth="1"/>
    <col min="7687" max="7687" width="7.25" style="141" customWidth="1"/>
    <col min="7688" max="7688" width="6.5" style="141" bestFit="1" customWidth="1"/>
    <col min="7689" max="7689" width="5.625" style="141"/>
    <col min="7690" max="7690" width="5.875" style="141" bestFit="1" customWidth="1"/>
    <col min="7691" max="7691" width="5.625" style="141"/>
    <col min="7692" max="7692" width="6.5" style="141" bestFit="1" customWidth="1"/>
    <col min="7693" max="7697" width="5.625" style="141"/>
    <col min="7698" max="7698" width="5.625" style="141" customWidth="1"/>
    <col min="7699" max="7714" width="5.625" style="141"/>
    <col min="7715" max="7719" width="5.625" style="141" customWidth="1"/>
    <col min="7720" max="7939" width="5.625" style="141"/>
    <col min="7940" max="7941" width="7.625" style="141" bestFit="1" customWidth="1"/>
    <col min="7942" max="7942" width="6.875" style="141" customWidth="1"/>
    <col min="7943" max="7943" width="7.25" style="141" customWidth="1"/>
    <col min="7944" max="7944" width="6.5" style="141" bestFit="1" customWidth="1"/>
    <col min="7945" max="7945" width="5.625" style="141"/>
    <col min="7946" max="7946" width="5.875" style="141" bestFit="1" customWidth="1"/>
    <col min="7947" max="7947" width="5.625" style="141"/>
    <col min="7948" max="7948" width="6.5" style="141" bestFit="1" customWidth="1"/>
    <col min="7949" max="7953" width="5.625" style="141"/>
    <col min="7954" max="7954" width="5.625" style="141" customWidth="1"/>
    <col min="7955" max="7970" width="5.625" style="141"/>
    <col min="7971" max="7975" width="5.625" style="141" customWidth="1"/>
    <col min="7976" max="8195" width="5.625" style="141"/>
    <col min="8196" max="8197" width="7.625" style="141" bestFit="1" customWidth="1"/>
    <col min="8198" max="8198" width="6.875" style="141" customWidth="1"/>
    <col min="8199" max="8199" width="7.25" style="141" customWidth="1"/>
    <col min="8200" max="8200" width="6.5" style="141" bestFit="1" customWidth="1"/>
    <col min="8201" max="8201" width="5.625" style="141"/>
    <col min="8202" max="8202" width="5.875" style="141" bestFit="1" customWidth="1"/>
    <col min="8203" max="8203" width="5.625" style="141"/>
    <col min="8204" max="8204" width="6.5" style="141" bestFit="1" customWidth="1"/>
    <col min="8205" max="8209" width="5.625" style="141"/>
    <col min="8210" max="8210" width="5.625" style="141" customWidth="1"/>
    <col min="8211" max="8226" width="5.625" style="141"/>
    <col min="8227" max="8231" width="5.625" style="141" customWidth="1"/>
    <col min="8232" max="8451" width="5.625" style="141"/>
    <col min="8452" max="8453" width="7.625" style="141" bestFit="1" customWidth="1"/>
    <col min="8454" max="8454" width="6.875" style="141" customWidth="1"/>
    <col min="8455" max="8455" width="7.25" style="141" customWidth="1"/>
    <col min="8456" max="8456" width="6.5" style="141" bestFit="1" customWidth="1"/>
    <col min="8457" max="8457" width="5.625" style="141"/>
    <col min="8458" max="8458" width="5.875" style="141" bestFit="1" customWidth="1"/>
    <col min="8459" max="8459" width="5.625" style="141"/>
    <col min="8460" max="8460" width="6.5" style="141" bestFit="1" customWidth="1"/>
    <col min="8461" max="8465" width="5.625" style="141"/>
    <col min="8466" max="8466" width="5.625" style="141" customWidth="1"/>
    <col min="8467" max="8482" width="5.625" style="141"/>
    <col min="8483" max="8487" width="5.625" style="141" customWidth="1"/>
    <col min="8488" max="8707" width="5.625" style="141"/>
    <col min="8708" max="8709" width="7.625" style="141" bestFit="1" customWidth="1"/>
    <col min="8710" max="8710" width="6.875" style="141" customWidth="1"/>
    <col min="8711" max="8711" width="7.25" style="141" customWidth="1"/>
    <col min="8712" max="8712" width="6.5" style="141" bestFit="1" customWidth="1"/>
    <col min="8713" max="8713" width="5.625" style="141"/>
    <col min="8714" max="8714" width="5.875" style="141" bestFit="1" customWidth="1"/>
    <col min="8715" max="8715" width="5.625" style="141"/>
    <col min="8716" max="8716" width="6.5" style="141" bestFit="1" customWidth="1"/>
    <col min="8717" max="8721" width="5.625" style="141"/>
    <col min="8722" max="8722" width="5.625" style="141" customWidth="1"/>
    <col min="8723" max="8738" width="5.625" style="141"/>
    <col min="8739" max="8743" width="5.625" style="141" customWidth="1"/>
    <col min="8744" max="8963" width="5.625" style="141"/>
    <col min="8964" max="8965" width="7.625" style="141" bestFit="1" customWidth="1"/>
    <col min="8966" max="8966" width="6.875" style="141" customWidth="1"/>
    <col min="8967" max="8967" width="7.25" style="141" customWidth="1"/>
    <col min="8968" max="8968" width="6.5" style="141" bestFit="1" customWidth="1"/>
    <col min="8969" max="8969" width="5.625" style="141"/>
    <col min="8970" max="8970" width="5.875" style="141" bestFit="1" customWidth="1"/>
    <col min="8971" max="8971" width="5.625" style="141"/>
    <col min="8972" max="8972" width="6.5" style="141" bestFit="1" customWidth="1"/>
    <col min="8973" max="8977" width="5.625" style="141"/>
    <col min="8978" max="8978" width="5.625" style="141" customWidth="1"/>
    <col min="8979" max="8994" width="5.625" style="141"/>
    <col min="8995" max="8999" width="5.625" style="141" customWidth="1"/>
    <col min="9000" max="9219" width="5.625" style="141"/>
    <col min="9220" max="9221" width="7.625" style="141" bestFit="1" customWidth="1"/>
    <col min="9222" max="9222" width="6.875" style="141" customWidth="1"/>
    <col min="9223" max="9223" width="7.25" style="141" customWidth="1"/>
    <col min="9224" max="9224" width="6.5" style="141" bestFit="1" customWidth="1"/>
    <col min="9225" max="9225" width="5.625" style="141"/>
    <col min="9226" max="9226" width="5.875" style="141" bestFit="1" customWidth="1"/>
    <col min="9227" max="9227" width="5.625" style="141"/>
    <col min="9228" max="9228" width="6.5" style="141" bestFit="1" customWidth="1"/>
    <col min="9229" max="9233" width="5.625" style="141"/>
    <col min="9234" max="9234" width="5.625" style="141" customWidth="1"/>
    <col min="9235" max="9250" width="5.625" style="141"/>
    <col min="9251" max="9255" width="5.625" style="141" customWidth="1"/>
    <col min="9256" max="9475" width="5.625" style="141"/>
    <col min="9476" max="9477" width="7.625" style="141" bestFit="1" customWidth="1"/>
    <col min="9478" max="9478" width="6.875" style="141" customWidth="1"/>
    <col min="9479" max="9479" width="7.25" style="141" customWidth="1"/>
    <col min="9480" max="9480" width="6.5" style="141" bestFit="1" customWidth="1"/>
    <col min="9481" max="9481" width="5.625" style="141"/>
    <col min="9482" max="9482" width="5.875" style="141" bestFit="1" customWidth="1"/>
    <col min="9483" max="9483" width="5.625" style="141"/>
    <col min="9484" max="9484" width="6.5" style="141" bestFit="1" customWidth="1"/>
    <col min="9485" max="9489" width="5.625" style="141"/>
    <col min="9490" max="9490" width="5.625" style="141" customWidth="1"/>
    <col min="9491" max="9506" width="5.625" style="141"/>
    <col min="9507" max="9511" width="5.625" style="141" customWidth="1"/>
    <col min="9512" max="9731" width="5.625" style="141"/>
    <col min="9732" max="9733" width="7.625" style="141" bestFit="1" customWidth="1"/>
    <col min="9734" max="9734" width="6.875" style="141" customWidth="1"/>
    <col min="9735" max="9735" width="7.25" style="141" customWidth="1"/>
    <col min="9736" max="9736" width="6.5" style="141" bestFit="1" customWidth="1"/>
    <col min="9737" max="9737" width="5.625" style="141"/>
    <col min="9738" max="9738" width="5.875" style="141" bestFit="1" customWidth="1"/>
    <col min="9739" max="9739" width="5.625" style="141"/>
    <col min="9740" max="9740" width="6.5" style="141" bestFit="1" customWidth="1"/>
    <col min="9741" max="9745" width="5.625" style="141"/>
    <col min="9746" max="9746" width="5.625" style="141" customWidth="1"/>
    <col min="9747" max="9762" width="5.625" style="141"/>
    <col min="9763" max="9767" width="5.625" style="141" customWidth="1"/>
    <col min="9768" max="9987" width="5.625" style="141"/>
    <col min="9988" max="9989" width="7.625" style="141" bestFit="1" customWidth="1"/>
    <col min="9990" max="9990" width="6.875" style="141" customWidth="1"/>
    <col min="9991" max="9991" width="7.25" style="141" customWidth="1"/>
    <col min="9992" max="9992" width="6.5" style="141" bestFit="1" customWidth="1"/>
    <col min="9993" max="9993" width="5.625" style="141"/>
    <col min="9994" max="9994" width="5.875" style="141" bestFit="1" customWidth="1"/>
    <col min="9995" max="9995" width="5.625" style="141"/>
    <col min="9996" max="9996" width="6.5" style="141" bestFit="1" customWidth="1"/>
    <col min="9997" max="10001" width="5.625" style="141"/>
    <col min="10002" max="10002" width="5.625" style="141" customWidth="1"/>
    <col min="10003" max="10018" width="5.625" style="141"/>
    <col min="10019" max="10023" width="5.625" style="141" customWidth="1"/>
    <col min="10024" max="10243" width="5.625" style="141"/>
    <col min="10244" max="10245" width="7.625" style="141" bestFit="1" customWidth="1"/>
    <col min="10246" max="10246" width="6.875" style="141" customWidth="1"/>
    <col min="10247" max="10247" width="7.25" style="141" customWidth="1"/>
    <col min="10248" max="10248" width="6.5" style="141" bestFit="1" customWidth="1"/>
    <col min="10249" max="10249" width="5.625" style="141"/>
    <col min="10250" max="10250" width="5.875" style="141" bestFit="1" customWidth="1"/>
    <col min="10251" max="10251" width="5.625" style="141"/>
    <col min="10252" max="10252" width="6.5" style="141" bestFit="1" customWidth="1"/>
    <col min="10253" max="10257" width="5.625" style="141"/>
    <col min="10258" max="10258" width="5.625" style="141" customWidth="1"/>
    <col min="10259" max="10274" width="5.625" style="141"/>
    <col min="10275" max="10279" width="5.625" style="141" customWidth="1"/>
    <col min="10280" max="10499" width="5.625" style="141"/>
    <col min="10500" max="10501" width="7.625" style="141" bestFit="1" customWidth="1"/>
    <col min="10502" max="10502" width="6.875" style="141" customWidth="1"/>
    <col min="10503" max="10503" width="7.25" style="141" customWidth="1"/>
    <col min="10504" max="10504" width="6.5" style="141" bestFit="1" customWidth="1"/>
    <col min="10505" max="10505" width="5.625" style="141"/>
    <col min="10506" max="10506" width="5.875" style="141" bestFit="1" customWidth="1"/>
    <col min="10507" max="10507" width="5.625" style="141"/>
    <col min="10508" max="10508" width="6.5" style="141" bestFit="1" customWidth="1"/>
    <col min="10509" max="10513" width="5.625" style="141"/>
    <col min="10514" max="10514" width="5.625" style="141" customWidth="1"/>
    <col min="10515" max="10530" width="5.625" style="141"/>
    <col min="10531" max="10535" width="5.625" style="141" customWidth="1"/>
    <col min="10536" max="10755" width="5.625" style="141"/>
    <col min="10756" max="10757" width="7.625" style="141" bestFit="1" customWidth="1"/>
    <col min="10758" max="10758" width="6.875" style="141" customWidth="1"/>
    <col min="10759" max="10759" width="7.25" style="141" customWidth="1"/>
    <col min="10760" max="10760" width="6.5" style="141" bestFit="1" customWidth="1"/>
    <col min="10761" max="10761" width="5.625" style="141"/>
    <col min="10762" max="10762" width="5.875" style="141" bestFit="1" customWidth="1"/>
    <col min="10763" max="10763" width="5.625" style="141"/>
    <col min="10764" max="10764" width="6.5" style="141" bestFit="1" customWidth="1"/>
    <col min="10765" max="10769" width="5.625" style="141"/>
    <col min="10770" max="10770" width="5.625" style="141" customWidth="1"/>
    <col min="10771" max="10786" width="5.625" style="141"/>
    <col min="10787" max="10791" width="5.625" style="141" customWidth="1"/>
    <col min="10792" max="11011" width="5.625" style="141"/>
    <col min="11012" max="11013" width="7.625" style="141" bestFit="1" customWidth="1"/>
    <col min="11014" max="11014" width="6.875" style="141" customWidth="1"/>
    <col min="11015" max="11015" width="7.25" style="141" customWidth="1"/>
    <col min="11016" max="11016" width="6.5" style="141" bestFit="1" customWidth="1"/>
    <col min="11017" max="11017" width="5.625" style="141"/>
    <col min="11018" max="11018" width="5.875" style="141" bestFit="1" customWidth="1"/>
    <col min="11019" max="11019" width="5.625" style="141"/>
    <col min="11020" max="11020" width="6.5" style="141" bestFit="1" customWidth="1"/>
    <col min="11021" max="11025" width="5.625" style="141"/>
    <col min="11026" max="11026" width="5.625" style="141" customWidth="1"/>
    <col min="11027" max="11042" width="5.625" style="141"/>
    <col min="11043" max="11047" width="5.625" style="141" customWidth="1"/>
    <col min="11048" max="11267" width="5.625" style="141"/>
    <col min="11268" max="11269" width="7.625" style="141" bestFit="1" customWidth="1"/>
    <col min="11270" max="11270" width="6.875" style="141" customWidth="1"/>
    <col min="11271" max="11271" width="7.25" style="141" customWidth="1"/>
    <col min="11272" max="11272" width="6.5" style="141" bestFit="1" customWidth="1"/>
    <col min="11273" max="11273" width="5.625" style="141"/>
    <col min="11274" max="11274" width="5.875" style="141" bestFit="1" customWidth="1"/>
    <col min="11275" max="11275" width="5.625" style="141"/>
    <col min="11276" max="11276" width="6.5" style="141" bestFit="1" customWidth="1"/>
    <col min="11277" max="11281" width="5.625" style="141"/>
    <col min="11282" max="11282" width="5.625" style="141" customWidth="1"/>
    <col min="11283" max="11298" width="5.625" style="141"/>
    <col min="11299" max="11303" width="5.625" style="141" customWidth="1"/>
    <col min="11304" max="11523" width="5.625" style="141"/>
    <col min="11524" max="11525" width="7.625" style="141" bestFit="1" customWidth="1"/>
    <col min="11526" max="11526" width="6.875" style="141" customWidth="1"/>
    <col min="11527" max="11527" width="7.25" style="141" customWidth="1"/>
    <col min="11528" max="11528" width="6.5" style="141" bestFit="1" customWidth="1"/>
    <col min="11529" max="11529" width="5.625" style="141"/>
    <col min="11530" max="11530" width="5.875" style="141" bestFit="1" customWidth="1"/>
    <col min="11531" max="11531" width="5.625" style="141"/>
    <col min="11532" max="11532" width="6.5" style="141" bestFit="1" customWidth="1"/>
    <col min="11533" max="11537" width="5.625" style="141"/>
    <col min="11538" max="11538" width="5.625" style="141" customWidth="1"/>
    <col min="11539" max="11554" width="5.625" style="141"/>
    <col min="11555" max="11559" width="5.625" style="141" customWidth="1"/>
    <col min="11560" max="11779" width="5.625" style="141"/>
    <col min="11780" max="11781" width="7.625" style="141" bestFit="1" customWidth="1"/>
    <col min="11782" max="11782" width="6.875" style="141" customWidth="1"/>
    <col min="11783" max="11783" width="7.25" style="141" customWidth="1"/>
    <col min="11784" max="11784" width="6.5" style="141" bestFit="1" customWidth="1"/>
    <col min="11785" max="11785" width="5.625" style="141"/>
    <col min="11786" max="11786" width="5.875" style="141" bestFit="1" customWidth="1"/>
    <col min="11787" max="11787" width="5.625" style="141"/>
    <col min="11788" max="11788" width="6.5" style="141" bestFit="1" customWidth="1"/>
    <col min="11789" max="11793" width="5.625" style="141"/>
    <col min="11794" max="11794" width="5.625" style="141" customWidth="1"/>
    <col min="11795" max="11810" width="5.625" style="141"/>
    <col min="11811" max="11815" width="5.625" style="141" customWidth="1"/>
    <col min="11816" max="12035" width="5.625" style="141"/>
    <col min="12036" max="12037" width="7.625" style="141" bestFit="1" customWidth="1"/>
    <col min="12038" max="12038" width="6.875" style="141" customWidth="1"/>
    <col min="12039" max="12039" width="7.25" style="141" customWidth="1"/>
    <col min="12040" max="12040" width="6.5" style="141" bestFit="1" customWidth="1"/>
    <col min="12041" max="12041" width="5.625" style="141"/>
    <col min="12042" max="12042" width="5.875" style="141" bestFit="1" customWidth="1"/>
    <col min="12043" max="12043" width="5.625" style="141"/>
    <col min="12044" max="12044" width="6.5" style="141" bestFit="1" customWidth="1"/>
    <col min="12045" max="12049" width="5.625" style="141"/>
    <col min="12050" max="12050" width="5.625" style="141" customWidth="1"/>
    <col min="12051" max="12066" width="5.625" style="141"/>
    <col min="12067" max="12071" width="5.625" style="141" customWidth="1"/>
    <col min="12072" max="12291" width="5.625" style="141"/>
    <col min="12292" max="12293" width="7.625" style="141" bestFit="1" customWidth="1"/>
    <col min="12294" max="12294" width="6.875" style="141" customWidth="1"/>
    <col min="12295" max="12295" width="7.25" style="141" customWidth="1"/>
    <col min="12296" max="12296" width="6.5" style="141" bestFit="1" customWidth="1"/>
    <col min="12297" max="12297" width="5.625" style="141"/>
    <col min="12298" max="12298" width="5.875" style="141" bestFit="1" customWidth="1"/>
    <col min="12299" max="12299" width="5.625" style="141"/>
    <col min="12300" max="12300" width="6.5" style="141" bestFit="1" customWidth="1"/>
    <col min="12301" max="12305" width="5.625" style="141"/>
    <col min="12306" max="12306" width="5.625" style="141" customWidth="1"/>
    <col min="12307" max="12322" width="5.625" style="141"/>
    <col min="12323" max="12327" width="5.625" style="141" customWidth="1"/>
    <col min="12328" max="12547" width="5.625" style="141"/>
    <col min="12548" max="12549" width="7.625" style="141" bestFit="1" customWidth="1"/>
    <col min="12550" max="12550" width="6.875" style="141" customWidth="1"/>
    <col min="12551" max="12551" width="7.25" style="141" customWidth="1"/>
    <col min="12552" max="12552" width="6.5" style="141" bestFit="1" customWidth="1"/>
    <col min="12553" max="12553" width="5.625" style="141"/>
    <col min="12554" max="12554" width="5.875" style="141" bestFit="1" customWidth="1"/>
    <col min="12555" max="12555" width="5.625" style="141"/>
    <col min="12556" max="12556" width="6.5" style="141" bestFit="1" customWidth="1"/>
    <col min="12557" max="12561" width="5.625" style="141"/>
    <col min="12562" max="12562" width="5.625" style="141" customWidth="1"/>
    <col min="12563" max="12578" width="5.625" style="141"/>
    <col min="12579" max="12583" width="5.625" style="141" customWidth="1"/>
    <col min="12584" max="12803" width="5.625" style="141"/>
    <col min="12804" max="12805" width="7.625" style="141" bestFit="1" customWidth="1"/>
    <col min="12806" max="12806" width="6.875" style="141" customWidth="1"/>
    <col min="12807" max="12807" width="7.25" style="141" customWidth="1"/>
    <col min="12808" max="12808" width="6.5" style="141" bestFit="1" customWidth="1"/>
    <col min="12809" max="12809" width="5.625" style="141"/>
    <col min="12810" max="12810" width="5.875" style="141" bestFit="1" customWidth="1"/>
    <col min="12811" max="12811" width="5.625" style="141"/>
    <col min="12812" max="12812" width="6.5" style="141" bestFit="1" customWidth="1"/>
    <col min="12813" max="12817" width="5.625" style="141"/>
    <col min="12818" max="12818" width="5.625" style="141" customWidth="1"/>
    <col min="12819" max="12834" width="5.625" style="141"/>
    <col min="12835" max="12839" width="5.625" style="141" customWidth="1"/>
    <col min="12840" max="13059" width="5.625" style="141"/>
    <col min="13060" max="13061" width="7.625" style="141" bestFit="1" customWidth="1"/>
    <col min="13062" max="13062" width="6.875" style="141" customWidth="1"/>
    <col min="13063" max="13063" width="7.25" style="141" customWidth="1"/>
    <col min="13064" max="13064" width="6.5" style="141" bestFit="1" customWidth="1"/>
    <col min="13065" max="13065" width="5.625" style="141"/>
    <col min="13066" max="13066" width="5.875" style="141" bestFit="1" customWidth="1"/>
    <col min="13067" max="13067" width="5.625" style="141"/>
    <col min="13068" max="13068" width="6.5" style="141" bestFit="1" customWidth="1"/>
    <col min="13069" max="13073" width="5.625" style="141"/>
    <col min="13074" max="13074" width="5.625" style="141" customWidth="1"/>
    <col min="13075" max="13090" width="5.625" style="141"/>
    <col min="13091" max="13095" width="5.625" style="141" customWidth="1"/>
    <col min="13096" max="13315" width="5.625" style="141"/>
    <col min="13316" max="13317" width="7.625" style="141" bestFit="1" customWidth="1"/>
    <col min="13318" max="13318" width="6.875" style="141" customWidth="1"/>
    <col min="13319" max="13319" width="7.25" style="141" customWidth="1"/>
    <col min="13320" max="13320" width="6.5" style="141" bestFit="1" customWidth="1"/>
    <col min="13321" max="13321" width="5.625" style="141"/>
    <col min="13322" max="13322" width="5.875" style="141" bestFit="1" customWidth="1"/>
    <col min="13323" max="13323" width="5.625" style="141"/>
    <col min="13324" max="13324" width="6.5" style="141" bestFit="1" customWidth="1"/>
    <col min="13325" max="13329" width="5.625" style="141"/>
    <col min="13330" max="13330" width="5.625" style="141" customWidth="1"/>
    <col min="13331" max="13346" width="5.625" style="141"/>
    <col min="13347" max="13351" width="5.625" style="141" customWidth="1"/>
    <col min="13352" max="13571" width="5.625" style="141"/>
    <col min="13572" max="13573" width="7.625" style="141" bestFit="1" customWidth="1"/>
    <col min="13574" max="13574" width="6.875" style="141" customWidth="1"/>
    <col min="13575" max="13575" width="7.25" style="141" customWidth="1"/>
    <col min="13576" max="13576" width="6.5" style="141" bestFit="1" customWidth="1"/>
    <col min="13577" max="13577" width="5.625" style="141"/>
    <col min="13578" max="13578" width="5.875" style="141" bestFit="1" customWidth="1"/>
    <col min="13579" max="13579" width="5.625" style="141"/>
    <col min="13580" max="13580" width="6.5" style="141" bestFit="1" customWidth="1"/>
    <col min="13581" max="13585" width="5.625" style="141"/>
    <col min="13586" max="13586" width="5.625" style="141" customWidth="1"/>
    <col min="13587" max="13602" width="5.625" style="141"/>
    <col min="13603" max="13607" width="5.625" style="141" customWidth="1"/>
    <col min="13608" max="13827" width="5.625" style="141"/>
    <col min="13828" max="13829" width="7.625" style="141" bestFit="1" customWidth="1"/>
    <col min="13830" max="13830" width="6.875" style="141" customWidth="1"/>
    <col min="13831" max="13831" width="7.25" style="141" customWidth="1"/>
    <col min="13832" max="13832" width="6.5" style="141" bestFit="1" customWidth="1"/>
    <col min="13833" max="13833" width="5.625" style="141"/>
    <col min="13834" max="13834" width="5.875" style="141" bestFit="1" customWidth="1"/>
    <col min="13835" max="13835" width="5.625" style="141"/>
    <col min="13836" max="13836" width="6.5" style="141" bestFit="1" customWidth="1"/>
    <col min="13837" max="13841" width="5.625" style="141"/>
    <col min="13842" max="13842" width="5.625" style="141" customWidth="1"/>
    <col min="13843" max="13858" width="5.625" style="141"/>
    <col min="13859" max="13863" width="5.625" style="141" customWidth="1"/>
    <col min="13864" max="14083" width="5.625" style="141"/>
    <col min="14084" max="14085" width="7.625" style="141" bestFit="1" customWidth="1"/>
    <col min="14086" max="14086" width="6.875" style="141" customWidth="1"/>
    <col min="14087" max="14087" width="7.25" style="141" customWidth="1"/>
    <col min="14088" max="14088" width="6.5" style="141" bestFit="1" customWidth="1"/>
    <col min="14089" max="14089" width="5.625" style="141"/>
    <col min="14090" max="14090" width="5.875" style="141" bestFit="1" customWidth="1"/>
    <col min="14091" max="14091" width="5.625" style="141"/>
    <col min="14092" max="14092" width="6.5" style="141" bestFit="1" customWidth="1"/>
    <col min="14093" max="14097" width="5.625" style="141"/>
    <col min="14098" max="14098" width="5.625" style="141" customWidth="1"/>
    <col min="14099" max="14114" width="5.625" style="141"/>
    <col min="14115" max="14119" width="5.625" style="141" customWidth="1"/>
    <col min="14120" max="14339" width="5.625" style="141"/>
    <col min="14340" max="14341" width="7.625" style="141" bestFit="1" customWidth="1"/>
    <col min="14342" max="14342" width="6.875" style="141" customWidth="1"/>
    <col min="14343" max="14343" width="7.25" style="141" customWidth="1"/>
    <col min="14344" max="14344" width="6.5" style="141" bestFit="1" customWidth="1"/>
    <col min="14345" max="14345" width="5.625" style="141"/>
    <col min="14346" max="14346" width="5.875" style="141" bestFit="1" customWidth="1"/>
    <col min="14347" max="14347" width="5.625" style="141"/>
    <col min="14348" max="14348" width="6.5" style="141" bestFit="1" customWidth="1"/>
    <col min="14349" max="14353" width="5.625" style="141"/>
    <col min="14354" max="14354" width="5.625" style="141" customWidth="1"/>
    <col min="14355" max="14370" width="5.625" style="141"/>
    <col min="14371" max="14375" width="5.625" style="141" customWidth="1"/>
    <col min="14376" max="14595" width="5.625" style="141"/>
    <col min="14596" max="14597" width="7.625" style="141" bestFit="1" customWidth="1"/>
    <col min="14598" max="14598" width="6.875" style="141" customWidth="1"/>
    <col min="14599" max="14599" width="7.25" style="141" customWidth="1"/>
    <col min="14600" max="14600" width="6.5" style="141" bestFit="1" customWidth="1"/>
    <col min="14601" max="14601" width="5.625" style="141"/>
    <col min="14602" max="14602" width="5.875" style="141" bestFit="1" customWidth="1"/>
    <col min="14603" max="14603" width="5.625" style="141"/>
    <col min="14604" max="14604" width="6.5" style="141" bestFit="1" customWidth="1"/>
    <col min="14605" max="14609" width="5.625" style="141"/>
    <col min="14610" max="14610" width="5.625" style="141" customWidth="1"/>
    <col min="14611" max="14626" width="5.625" style="141"/>
    <col min="14627" max="14631" width="5.625" style="141" customWidth="1"/>
    <col min="14632" max="14851" width="5.625" style="141"/>
    <col min="14852" max="14853" width="7.625" style="141" bestFit="1" customWidth="1"/>
    <col min="14854" max="14854" width="6.875" style="141" customWidth="1"/>
    <col min="14855" max="14855" width="7.25" style="141" customWidth="1"/>
    <col min="14856" max="14856" width="6.5" style="141" bestFit="1" customWidth="1"/>
    <col min="14857" max="14857" width="5.625" style="141"/>
    <col min="14858" max="14858" width="5.875" style="141" bestFit="1" customWidth="1"/>
    <col min="14859" max="14859" width="5.625" style="141"/>
    <col min="14860" max="14860" width="6.5" style="141" bestFit="1" customWidth="1"/>
    <col min="14861" max="14865" width="5.625" style="141"/>
    <col min="14866" max="14866" width="5.625" style="141" customWidth="1"/>
    <col min="14867" max="14882" width="5.625" style="141"/>
    <col min="14883" max="14887" width="5.625" style="141" customWidth="1"/>
    <col min="14888" max="15107" width="5.625" style="141"/>
    <col min="15108" max="15109" width="7.625" style="141" bestFit="1" customWidth="1"/>
    <col min="15110" max="15110" width="6.875" style="141" customWidth="1"/>
    <col min="15111" max="15111" width="7.25" style="141" customWidth="1"/>
    <col min="15112" max="15112" width="6.5" style="141" bestFit="1" customWidth="1"/>
    <col min="15113" max="15113" width="5.625" style="141"/>
    <col min="15114" max="15114" width="5.875" style="141" bestFit="1" customWidth="1"/>
    <col min="15115" max="15115" width="5.625" style="141"/>
    <col min="15116" max="15116" width="6.5" style="141" bestFit="1" customWidth="1"/>
    <col min="15117" max="15121" width="5.625" style="141"/>
    <col min="15122" max="15122" width="5.625" style="141" customWidth="1"/>
    <col min="15123" max="15138" width="5.625" style="141"/>
    <col min="15139" max="15143" width="5.625" style="141" customWidth="1"/>
    <col min="15144" max="15363" width="5.625" style="141"/>
    <col min="15364" max="15365" width="7.625" style="141" bestFit="1" customWidth="1"/>
    <col min="15366" max="15366" width="6.875" style="141" customWidth="1"/>
    <col min="15367" max="15367" width="7.25" style="141" customWidth="1"/>
    <col min="15368" max="15368" width="6.5" style="141" bestFit="1" customWidth="1"/>
    <col min="15369" max="15369" width="5.625" style="141"/>
    <col min="15370" max="15370" width="5.875" style="141" bestFit="1" customWidth="1"/>
    <col min="15371" max="15371" width="5.625" style="141"/>
    <col min="15372" max="15372" width="6.5" style="141" bestFit="1" customWidth="1"/>
    <col min="15373" max="15377" width="5.625" style="141"/>
    <col min="15378" max="15378" width="5.625" style="141" customWidth="1"/>
    <col min="15379" max="15394" width="5.625" style="141"/>
    <col min="15395" max="15399" width="5.625" style="141" customWidth="1"/>
    <col min="15400" max="15619" width="5.625" style="141"/>
    <col min="15620" max="15621" width="7.625" style="141" bestFit="1" customWidth="1"/>
    <col min="15622" max="15622" width="6.875" style="141" customWidth="1"/>
    <col min="15623" max="15623" width="7.25" style="141" customWidth="1"/>
    <col min="15624" max="15624" width="6.5" style="141" bestFit="1" customWidth="1"/>
    <col min="15625" max="15625" width="5.625" style="141"/>
    <col min="15626" max="15626" width="5.875" style="141" bestFit="1" customWidth="1"/>
    <col min="15627" max="15627" width="5.625" style="141"/>
    <col min="15628" max="15628" width="6.5" style="141" bestFit="1" customWidth="1"/>
    <col min="15629" max="15633" width="5.625" style="141"/>
    <col min="15634" max="15634" width="5.625" style="141" customWidth="1"/>
    <col min="15635" max="15650" width="5.625" style="141"/>
    <col min="15651" max="15655" width="5.625" style="141" customWidth="1"/>
    <col min="15656" max="15875" width="5.625" style="141"/>
    <col min="15876" max="15877" width="7.625" style="141" bestFit="1" customWidth="1"/>
    <col min="15878" max="15878" width="6.875" style="141" customWidth="1"/>
    <col min="15879" max="15879" width="7.25" style="141" customWidth="1"/>
    <col min="15880" max="15880" width="6.5" style="141" bestFit="1" customWidth="1"/>
    <col min="15881" max="15881" width="5.625" style="141"/>
    <col min="15882" max="15882" width="5.875" style="141" bestFit="1" customWidth="1"/>
    <col min="15883" max="15883" width="5.625" style="141"/>
    <col min="15884" max="15884" width="6.5" style="141" bestFit="1" customWidth="1"/>
    <col min="15885" max="15889" width="5.625" style="141"/>
    <col min="15890" max="15890" width="5.625" style="141" customWidth="1"/>
    <col min="15891" max="15906" width="5.625" style="141"/>
    <col min="15907" max="15911" width="5.625" style="141" customWidth="1"/>
    <col min="15912" max="16131" width="5.625" style="141"/>
    <col min="16132" max="16133" width="7.625" style="141" bestFit="1" customWidth="1"/>
    <col min="16134" max="16134" width="6.875" style="141" customWidth="1"/>
    <col min="16135" max="16135" width="7.25" style="141" customWidth="1"/>
    <col min="16136" max="16136" width="6.5" style="141" bestFit="1" customWidth="1"/>
    <col min="16137" max="16137" width="5.625" style="141"/>
    <col min="16138" max="16138" width="5.875" style="141" bestFit="1" customWidth="1"/>
    <col min="16139" max="16139" width="5.625" style="141"/>
    <col min="16140" max="16140" width="6.5" style="141" bestFit="1" customWidth="1"/>
    <col min="16141" max="16145" width="5.625" style="141"/>
    <col min="16146" max="16146" width="5.625" style="141" customWidth="1"/>
    <col min="16147" max="16162" width="5.625" style="141"/>
    <col min="16163" max="16167" width="5.625" style="141" customWidth="1"/>
    <col min="16168" max="16384" width="5.625" style="141"/>
  </cols>
  <sheetData>
    <row r="1" spans="1:15" ht="14.25" customHeight="1">
      <c r="A1" s="1" t="s">
        <v>637</v>
      </c>
    </row>
    <row r="2" spans="1:15" ht="14.25" customHeight="1"/>
    <row r="3" spans="1:15" ht="14.25" customHeight="1">
      <c r="B3" s="142" t="s">
        <v>236</v>
      </c>
    </row>
    <row r="4" spans="1:15" ht="14.25" customHeight="1">
      <c r="B4" s="142"/>
    </row>
    <row r="5" spans="1:15" ht="14.25" customHeight="1">
      <c r="B5" s="143" t="s">
        <v>237</v>
      </c>
    </row>
    <row r="6" spans="1:15" ht="14.25" customHeight="1">
      <c r="B6" s="142"/>
    </row>
    <row r="7" spans="1:15" ht="14.25" customHeight="1">
      <c r="B7" s="144" t="s">
        <v>238</v>
      </c>
      <c r="D7" s="145">
        <v>0.3</v>
      </c>
      <c r="E7" s="146" t="s">
        <v>638</v>
      </c>
    </row>
    <row r="8" spans="1:15" ht="14.25" customHeight="1">
      <c r="B8" s="144"/>
      <c r="D8" s="147"/>
      <c r="E8" s="146"/>
    </row>
    <row r="9" spans="1:15" ht="14.25" customHeight="1">
      <c r="B9" s="146" t="s">
        <v>240</v>
      </c>
      <c r="C9" s="148"/>
      <c r="D9" s="148"/>
      <c r="E9" s="148"/>
      <c r="F9" s="148"/>
      <c r="G9" s="148"/>
      <c r="H9" s="148"/>
      <c r="J9" s="148"/>
      <c r="K9" s="148"/>
      <c r="L9" s="148"/>
      <c r="M9" s="148"/>
      <c r="N9" s="148"/>
      <c r="O9" s="148"/>
    </row>
    <row r="10" spans="1:15" ht="14.25" hidden="1" customHeight="1">
      <c r="B10" s="148"/>
      <c r="C10" s="149" t="s">
        <v>639</v>
      </c>
      <c r="D10" s="146" t="s">
        <v>299</v>
      </c>
      <c r="E10" s="148"/>
      <c r="F10" s="148"/>
      <c r="G10" s="148"/>
      <c r="H10" s="148"/>
      <c r="J10" s="148"/>
      <c r="K10" s="148"/>
      <c r="L10" s="148"/>
      <c r="M10" s="148"/>
      <c r="N10" s="148"/>
      <c r="O10" s="148"/>
    </row>
    <row r="11" spans="1:15" ht="14.25" hidden="1" customHeight="1">
      <c r="B11" s="148"/>
      <c r="C11" s="148"/>
      <c r="D11" s="148"/>
      <c r="E11" s="148"/>
      <c r="F11" s="148"/>
      <c r="G11" s="148"/>
      <c r="H11" s="148"/>
      <c r="J11" s="148"/>
      <c r="K11" s="148"/>
      <c r="L11" s="148"/>
      <c r="M11" s="148"/>
      <c r="N11" s="148"/>
      <c r="O11" s="148"/>
    </row>
    <row r="12" spans="1:15" ht="14.25" hidden="1" customHeight="1">
      <c r="B12" s="148"/>
      <c r="C12" s="149" t="s">
        <v>640</v>
      </c>
      <c r="D12" s="150">
        <v>1.5</v>
      </c>
      <c r="E12" s="149" t="s">
        <v>641</v>
      </c>
      <c r="F12" s="151"/>
      <c r="G12" s="149" t="s">
        <v>642</v>
      </c>
      <c r="H12" s="150">
        <v>5.5</v>
      </c>
      <c r="J12" s="148"/>
      <c r="K12" s="148"/>
      <c r="L12" s="148"/>
      <c r="M12" s="148"/>
      <c r="N12" s="148"/>
      <c r="O12" s="148"/>
    </row>
    <row r="13" spans="1:15" ht="14.25" hidden="1" customHeight="1">
      <c r="B13" s="148"/>
      <c r="C13" s="148"/>
      <c r="D13" s="148"/>
      <c r="E13" s="148"/>
      <c r="F13" s="148"/>
      <c r="G13" s="148"/>
      <c r="H13" s="148"/>
      <c r="J13" s="148"/>
      <c r="K13" s="148"/>
      <c r="L13" s="148"/>
      <c r="M13" s="148"/>
      <c r="N13" s="148"/>
      <c r="O13" s="148"/>
    </row>
    <row r="14" spans="1:15" ht="14.25" customHeight="1">
      <c r="B14" s="148"/>
      <c r="C14" s="149" t="s">
        <v>639</v>
      </c>
      <c r="D14" s="151">
        <f>D162</f>
        <v>80</v>
      </c>
      <c r="E14" s="146" t="s">
        <v>638</v>
      </c>
      <c r="F14" s="148"/>
      <c r="G14" s="148"/>
      <c r="H14" s="148"/>
      <c r="J14" s="148"/>
      <c r="K14" s="148"/>
      <c r="L14" s="148"/>
      <c r="M14" s="148"/>
      <c r="N14" s="148"/>
      <c r="O14" s="148"/>
    </row>
    <row r="15" spans="1:15" ht="14.25" customHeight="1">
      <c r="B15" s="148"/>
      <c r="C15" s="148"/>
      <c r="D15" s="149"/>
      <c r="E15" s="147"/>
      <c r="F15" s="146"/>
      <c r="G15" s="148"/>
      <c r="H15" s="148"/>
      <c r="I15" s="148"/>
      <c r="J15" s="148"/>
      <c r="K15" s="148"/>
      <c r="L15" s="148"/>
      <c r="M15" s="148"/>
      <c r="N15" s="148"/>
      <c r="O15" s="148"/>
    </row>
    <row r="16" spans="1:15" ht="14.25" customHeight="1">
      <c r="B16" s="146" t="s">
        <v>243</v>
      </c>
      <c r="C16" s="148"/>
      <c r="D16" s="149"/>
      <c r="E16" s="147"/>
      <c r="F16" s="146"/>
      <c r="G16" s="148"/>
      <c r="H16" s="148"/>
      <c r="I16" s="148"/>
      <c r="J16" s="148"/>
      <c r="K16" s="148"/>
      <c r="L16" s="148"/>
      <c r="M16" s="148"/>
      <c r="N16" s="148"/>
      <c r="O16" s="148"/>
    </row>
    <row r="17" spans="2:15" ht="14.25" customHeight="1">
      <c r="B17" s="148"/>
      <c r="C17" s="149" t="s">
        <v>292</v>
      </c>
      <c r="D17" s="144" t="s">
        <v>244</v>
      </c>
      <c r="E17" s="147"/>
      <c r="F17" s="146"/>
      <c r="G17" s="148"/>
      <c r="H17" s="148"/>
      <c r="I17" s="148"/>
      <c r="J17" s="148"/>
      <c r="K17" s="148"/>
      <c r="L17" s="148"/>
      <c r="M17" s="148"/>
      <c r="N17" s="148"/>
      <c r="O17" s="148"/>
    </row>
    <row r="18" spans="2:15" ht="14.25" customHeight="1">
      <c r="B18" s="148"/>
      <c r="C18" s="149"/>
      <c r="D18" s="149"/>
      <c r="E18" s="147"/>
      <c r="F18" s="146"/>
      <c r="G18" s="148"/>
      <c r="H18" s="148"/>
      <c r="I18" s="148"/>
      <c r="J18" s="148"/>
      <c r="K18" s="148"/>
      <c r="L18" s="148"/>
      <c r="M18" s="148"/>
      <c r="N18" s="148"/>
      <c r="O18" s="148"/>
    </row>
    <row r="19" spans="2:15" ht="14.25" customHeight="1">
      <c r="B19" s="148"/>
      <c r="C19" s="149" t="s">
        <v>34</v>
      </c>
      <c r="D19" s="55">
        <f>'[1]基本 (1)'!L10/('[1]基本 (1)'!D12-1)</f>
        <v>10</v>
      </c>
      <c r="E19" s="47" t="s">
        <v>245</v>
      </c>
      <c r="F19" s="152">
        <v>2</v>
      </c>
      <c r="G19" s="148"/>
      <c r="H19" s="148"/>
      <c r="I19" s="148"/>
      <c r="J19" s="148"/>
      <c r="K19" s="148"/>
      <c r="L19" s="148"/>
      <c r="M19" s="148"/>
      <c r="N19" s="148"/>
      <c r="O19" s="148"/>
    </row>
    <row r="20" spans="2:15" ht="14.25" customHeight="1">
      <c r="B20" s="148"/>
      <c r="C20" s="149"/>
      <c r="D20" s="149"/>
      <c r="E20" s="147"/>
      <c r="F20" s="146"/>
      <c r="G20" s="148"/>
      <c r="H20" s="148"/>
      <c r="I20" s="148"/>
      <c r="J20" s="148"/>
      <c r="K20" s="148"/>
      <c r="L20" s="148"/>
      <c r="M20" s="148"/>
      <c r="N20" s="148"/>
      <c r="O20" s="148"/>
    </row>
    <row r="21" spans="2:15" ht="14.25" customHeight="1">
      <c r="B21" s="148"/>
      <c r="C21" s="149" t="s">
        <v>34</v>
      </c>
      <c r="D21" s="55">
        <f>D19+F19</f>
        <v>12</v>
      </c>
      <c r="E21" s="153" t="s">
        <v>11</v>
      </c>
      <c r="F21" s="146"/>
      <c r="G21" s="148"/>
      <c r="H21" s="148"/>
      <c r="I21" s="148"/>
      <c r="J21" s="148"/>
      <c r="K21" s="148"/>
      <c r="L21" s="148"/>
      <c r="M21" s="148"/>
      <c r="N21" s="148"/>
      <c r="O21" s="148"/>
    </row>
    <row r="22" spans="2:15" ht="14.25" customHeight="1">
      <c r="B22" s="148"/>
      <c r="C22" s="149"/>
      <c r="D22" s="149"/>
      <c r="E22" s="147"/>
      <c r="F22" s="146"/>
      <c r="G22" s="148"/>
      <c r="H22" s="148"/>
      <c r="I22" s="148"/>
      <c r="J22" s="148"/>
      <c r="K22" s="148"/>
      <c r="L22" s="148"/>
      <c r="M22" s="148"/>
      <c r="N22" s="148"/>
      <c r="O22" s="148"/>
    </row>
    <row r="23" spans="2:15" ht="14.25" customHeight="1">
      <c r="B23" s="141" t="s">
        <v>246</v>
      </c>
    </row>
    <row r="24" spans="2:15" ht="14.25" customHeight="1">
      <c r="B24" s="142"/>
      <c r="C24" s="154" t="s">
        <v>247</v>
      </c>
      <c r="D24" s="155">
        <v>155</v>
      </c>
      <c r="E24" s="154" t="s">
        <v>177</v>
      </c>
      <c r="F24" s="156">
        <f>IF(D7&lt;=0.2,1,0.7)</f>
        <v>0.7</v>
      </c>
    </row>
    <row r="25" spans="2:15" ht="14.25" customHeight="1">
      <c r="B25" s="142"/>
    </row>
    <row r="26" spans="2:15" ht="14.25" customHeight="1">
      <c r="B26" s="142"/>
      <c r="C26" s="154" t="s">
        <v>34</v>
      </c>
      <c r="D26" s="156">
        <f>D24*F24</f>
        <v>108.5</v>
      </c>
      <c r="E26" s="157" t="s">
        <v>248</v>
      </c>
      <c r="F26" s="154"/>
      <c r="G26" s="158"/>
      <c r="H26" s="157"/>
      <c r="I26" s="154"/>
      <c r="J26" s="159"/>
      <c r="K26" s="157"/>
      <c r="L26" s="160"/>
    </row>
    <row r="27" spans="2:15" ht="14.25" customHeight="1">
      <c r="B27" s="142"/>
    </row>
    <row r="28" spans="2:15" ht="14.25" customHeight="1">
      <c r="B28" s="141" t="s">
        <v>249</v>
      </c>
    </row>
    <row r="29" spans="2:15" ht="14.25" customHeight="1">
      <c r="B29" s="142"/>
      <c r="C29" s="155" t="s">
        <v>250</v>
      </c>
      <c r="D29" s="157" t="s">
        <v>251</v>
      </c>
    </row>
    <row r="30" spans="2:15" ht="14.25" customHeight="1">
      <c r="B30" s="142"/>
    </row>
    <row r="31" spans="2:15" ht="14.25" customHeight="1">
      <c r="B31" s="142"/>
      <c r="C31" s="154" t="s">
        <v>34</v>
      </c>
      <c r="D31" s="161">
        <f>D14*D21</f>
        <v>960</v>
      </c>
      <c r="E31" s="154" t="s">
        <v>267</v>
      </c>
      <c r="F31" s="156">
        <f>D26</f>
        <v>108.5</v>
      </c>
    </row>
    <row r="32" spans="2:15" ht="14.25" customHeight="1">
      <c r="B32" s="142"/>
    </row>
    <row r="33" spans="2:14" ht="14.25" customHeight="1" thickBot="1">
      <c r="B33" s="142"/>
      <c r="C33" s="154" t="s">
        <v>640</v>
      </c>
      <c r="D33" s="162">
        <f>ROUND(D31/F31,1)</f>
        <v>8.8000000000000007</v>
      </c>
      <c r="E33" s="163" t="s">
        <v>156</v>
      </c>
    </row>
    <row r="34" spans="2:14" ht="14.25" customHeight="1">
      <c r="B34" s="142"/>
    </row>
    <row r="35" spans="2:14" ht="14.25" customHeight="1">
      <c r="B35" s="142"/>
    </row>
    <row r="36" spans="2:14" ht="14.25" hidden="1" customHeight="1">
      <c r="B36" s="143"/>
    </row>
    <row r="37" spans="2:14" ht="14.25" hidden="1" customHeight="1"/>
    <row r="38" spans="2:14" ht="14.25" hidden="1" customHeight="1">
      <c r="C38" s="154" t="s">
        <v>252</v>
      </c>
      <c r="D38" s="157" t="s">
        <v>643</v>
      </c>
      <c r="J38" s="157" t="s">
        <v>644</v>
      </c>
    </row>
    <row r="39" spans="2:14" ht="14.25" hidden="1" customHeight="1"/>
    <row r="40" spans="2:14" ht="14.25" hidden="1" customHeight="1">
      <c r="C40" s="120" t="s">
        <v>295</v>
      </c>
      <c r="D40" s="156">
        <f>K45</f>
        <v>0</v>
      </c>
      <c r="E40" s="154" t="s">
        <v>245</v>
      </c>
      <c r="F40" s="164">
        <v>2</v>
      </c>
      <c r="G40" s="154" t="s">
        <v>645</v>
      </c>
      <c r="H40" s="155">
        <v>0.15</v>
      </c>
      <c r="I40" s="154" t="s">
        <v>177</v>
      </c>
      <c r="J40" s="156"/>
      <c r="K40" s="154" t="s">
        <v>245</v>
      </c>
      <c r="L40" s="155">
        <v>1.5</v>
      </c>
      <c r="M40" s="154" t="s">
        <v>255</v>
      </c>
      <c r="N40" s="165" t="e">
        <f>K46</f>
        <v>#DIV/0!</v>
      </c>
    </row>
    <row r="41" spans="2:14" ht="14.25" hidden="1" customHeight="1">
      <c r="C41" s="120"/>
      <c r="D41" s="155"/>
      <c r="E41" s="154"/>
      <c r="F41" s="155"/>
      <c r="G41" s="154"/>
      <c r="H41" s="155"/>
      <c r="I41" s="154"/>
      <c r="J41" s="155"/>
      <c r="K41" s="154"/>
      <c r="L41" s="155"/>
      <c r="M41" s="154"/>
      <c r="N41" s="155"/>
    </row>
    <row r="42" spans="2:14" ht="14.25" hidden="1" customHeight="1">
      <c r="C42" s="120" t="s">
        <v>34</v>
      </c>
      <c r="D42" s="156"/>
      <c r="E42" s="166" t="s">
        <v>646</v>
      </c>
      <c r="F42" s="155"/>
      <c r="G42" s="154"/>
      <c r="H42" s="155"/>
      <c r="I42" s="154"/>
      <c r="J42" s="155"/>
      <c r="K42" s="154"/>
      <c r="L42" s="155"/>
      <c r="M42" s="154"/>
      <c r="N42" s="155"/>
    </row>
    <row r="43" spans="2:14" ht="14.25" hidden="1" customHeight="1">
      <c r="C43" s="120"/>
      <c r="D43" s="155"/>
      <c r="E43" s="154"/>
      <c r="F43" s="155"/>
      <c r="G43" s="154"/>
      <c r="H43" s="155"/>
      <c r="I43" s="154"/>
      <c r="J43" s="155"/>
      <c r="K43" s="154"/>
      <c r="L43" s="155"/>
      <c r="M43" s="154"/>
      <c r="N43" s="155"/>
    </row>
    <row r="44" spans="2:14" ht="14.25" hidden="1" customHeight="1">
      <c r="C44" s="120"/>
      <c r="D44" s="155" t="s">
        <v>256</v>
      </c>
      <c r="E44" s="157" t="s">
        <v>257</v>
      </c>
      <c r="F44" s="155"/>
      <c r="G44" s="154"/>
      <c r="H44" s="155"/>
      <c r="I44" s="154"/>
      <c r="J44" s="155"/>
      <c r="K44" s="154"/>
      <c r="L44" s="155"/>
      <c r="M44" s="154"/>
      <c r="N44" s="155"/>
    </row>
    <row r="45" spans="2:14" ht="14.25" hidden="1" customHeight="1">
      <c r="C45" s="120"/>
      <c r="D45" s="155" t="s">
        <v>258</v>
      </c>
      <c r="E45" s="157" t="s">
        <v>259</v>
      </c>
      <c r="F45" s="155"/>
      <c r="G45" s="154"/>
      <c r="H45" s="154"/>
      <c r="I45" s="154"/>
      <c r="J45" s="167" t="s">
        <v>647</v>
      </c>
      <c r="K45" s="156"/>
      <c r="L45" s="168" t="s">
        <v>261</v>
      </c>
      <c r="M45" s="154"/>
      <c r="N45" s="155"/>
    </row>
    <row r="46" spans="2:14" ht="14.25" hidden="1" customHeight="1">
      <c r="C46" s="120"/>
      <c r="D46" s="154" t="s">
        <v>648</v>
      </c>
      <c r="E46" s="166" t="s">
        <v>262</v>
      </c>
      <c r="F46" s="155"/>
      <c r="G46" s="154"/>
      <c r="H46" s="154"/>
      <c r="I46" s="154"/>
      <c r="J46" s="167" t="s">
        <v>260</v>
      </c>
      <c r="K46" s="165" t="e">
        <f>E121</f>
        <v>#DIV/0!</v>
      </c>
      <c r="L46" s="168" t="s">
        <v>263</v>
      </c>
      <c r="M46" s="154"/>
      <c r="N46" s="155"/>
    </row>
    <row r="47" spans="2:14" ht="14.25" hidden="1" customHeight="1">
      <c r="C47" s="120"/>
      <c r="D47" s="155"/>
      <c r="E47" s="154"/>
      <c r="F47" s="155"/>
      <c r="G47" s="154"/>
      <c r="H47" s="155"/>
      <c r="I47" s="154"/>
      <c r="J47" s="155"/>
      <c r="K47" s="154"/>
      <c r="L47" s="155"/>
      <c r="M47" s="154"/>
      <c r="N47" s="155"/>
    </row>
    <row r="48" spans="2:14" ht="14.25" hidden="1" customHeight="1">
      <c r="B48" s="141" t="s">
        <v>246</v>
      </c>
    </row>
    <row r="49" spans="2:16" ht="14.25" hidden="1" customHeight="1">
      <c r="C49" s="154" t="s">
        <v>264</v>
      </c>
      <c r="D49" s="157" t="s">
        <v>265</v>
      </c>
    </row>
    <row r="50" spans="2:16" ht="14.25" hidden="1" customHeight="1"/>
    <row r="51" spans="2:16" ht="14.25" hidden="1" customHeight="1">
      <c r="C51" s="155" t="s">
        <v>182</v>
      </c>
      <c r="D51" s="156">
        <f>D42</f>
        <v>0</v>
      </c>
      <c r="E51" s="154" t="s">
        <v>649</v>
      </c>
      <c r="F51" s="166">
        <v>1.0999999999999999E-2</v>
      </c>
      <c r="G51" s="154" t="s">
        <v>650</v>
      </c>
      <c r="H51" s="156">
        <f>D42</f>
        <v>0</v>
      </c>
      <c r="I51" s="154" t="s">
        <v>245</v>
      </c>
      <c r="J51" s="154">
        <v>0.55000000000000004</v>
      </c>
      <c r="K51" s="157" t="s">
        <v>261</v>
      </c>
    </row>
    <row r="52" spans="2:16" ht="14.25" hidden="1" customHeight="1"/>
    <row r="53" spans="2:16" ht="14.25" hidden="1" customHeight="1">
      <c r="C53" s="154" t="s">
        <v>651</v>
      </c>
      <c r="D53" s="156">
        <f>D51/(F51*H51+J51)</f>
        <v>0</v>
      </c>
      <c r="E53" s="157" t="s">
        <v>248</v>
      </c>
      <c r="F53" s="154"/>
      <c r="G53" s="158"/>
      <c r="H53" s="157"/>
      <c r="I53" s="154"/>
      <c r="J53" s="159"/>
      <c r="K53" s="157"/>
      <c r="L53" s="160"/>
    </row>
    <row r="54" spans="2:16" ht="14.25" hidden="1" customHeight="1"/>
    <row r="55" spans="2:16" ht="14.25" hidden="1" customHeight="1">
      <c r="B55" s="141" t="s">
        <v>249</v>
      </c>
    </row>
    <row r="56" spans="2:16" ht="14.25" hidden="1" customHeight="1">
      <c r="C56" s="155"/>
      <c r="D56" s="157" t="s">
        <v>652</v>
      </c>
    </row>
    <row r="57" spans="2:16" ht="14.25" hidden="1" customHeight="1"/>
    <row r="58" spans="2:16" ht="14.25" hidden="1" customHeight="1">
      <c r="C58" s="155" t="s">
        <v>182</v>
      </c>
      <c r="D58" s="156">
        <f>D42</f>
        <v>0</v>
      </c>
      <c r="E58" s="154" t="s">
        <v>653</v>
      </c>
      <c r="F58" s="156">
        <f>D53</f>
        <v>0</v>
      </c>
    </row>
    <row r="59" spans="2:16" ht="14.25" hidden="1" customHeight="1"/>
    <row r="60" spans="2:16" ht="14.25" hidden="1" customHeight="1">
      <c r="C60" s="155" t="s">
        <v>182</v>
      </c>
      <c r="D60" s="162" t="e">
        <f>ROUND(D58/F58,1)</f>
        <v>#DIV/0!</v>
      </c>
      <c r="E60" s="163" t="s">
        <v>156</v>
      </c>
    </row>
    <row r="61" spans="2:16" ht="14.25" hidden="1" customHeight="1"/>
    <row r="62" spans="2:16" ht="14.25" hidden="1" customHeight="1"/>
    <row r="63" spans="2:16" ht="14.25" hidden="1" customHeight="1">
      <c r="B63" s="169" t="s">
        <v>268</v>
      </c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1"/>
    </row>
    <row r="64" spans="2:16" ht="14.25" hidden="1" customHeight="1">
      <c r="B64" s="172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73"/>
    </row>
    <row r="65" spans="2:16" ht="14.25" hidden="1" customHeight="1">
      <c r="B65" s="172"/>
      <c r="C65" s="146" t="s">
        <v>269</v>
      </c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73"/>
    </row>
    <row r="66" spans="2:16" ht="14.25" hidden="1" customHeight="1">
      <c r="B66" s="172"/>
      <c r="C66" s="149" t="s">
        <v>270</v>
      </c>
      <c r="D66" s="146" t="s">
        <v>654</v>
      </c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73"/>
    </row>
    <row r="67" spans="2:16" ht="14.25" hidden="1" customHeight="1">
      <c r="B67" s="172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73"/>
    </row>
    <row r="68" spans="2:16" ht="14.25" hidden="1" customHeight="1">
      <c r="B68" s="172"/>
      <c r="C68" s="148"/>
      <c r="D68" s="149" t="s">
        <v>655</v>
      </c>
      <c r="E68" s="146" t="s">
        <v>272</v>
      </c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73"/>
    </row>
    <row r="69" spans="2:16" ht="14.25" hidden="1" customHeight="1">
      <c r="B69" s="172"/>
      <c r="C69" s="148"/>
      <c r="D69" s="149" t="s">
        <v>656</v>
      </c>
      <c r="E69" s="146" t="s">
        <v>273</v>
      </c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73"/>
    </row>
    <row r="70" spans="2:16" ht="14.25" hidden="1" customHeight="1">
      <c r="B70" s="172"/>
      <c r="C70" s="148"/>
      <c r="D70" s="149" t="s">
        <v>657</v>
      </c>
      <c r="E70" s="146" t="s">
        <v>274</v>
      </c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73"/>
    </row>
    <row r="71" spans="2:16" ht="14.25" hidden="1" customHeight="1">
      <c r="B71" s="172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73"/>
    </row>
    <row r="72" spans="2:16" ht="14.25" hidden="1" customHeight="1">
      <c r="B72" s="172"/>
      <c r="C72" s="144" t="s">
        <v>275</v>
      </c>
      <c r="D72" s="148"/>
      <c r="E72" s="151"/>
      <c r="F72" s="146" t="s">
        <v>11</v>
      </c>
      <c r="G72" s="148"/>
      <c r="H72" s="148"/>
      <c r="I72" s="148"/>
      <c r="J72" s="148"/>
      <c r="K72" s="148"/>
      <c r="L72" s="148"/>
      <c r="M72" s="148"/>
      <c r="N72" s="148"/>
      <c r="O72" s="148"/>
      <c r="P72" s="173"/>
    </row>
    <row r="73" spans="2:16" ht="14.25" hidden="1" customHeight="1">
      <c r="B73" s="172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73"/>
    </row>
    <row r="74" spans="2:16" ht="14.25" hidden="1" customHeight="1">
      <c r="B74" s="172"/>
      <c r="C74" s="146" t="s">
        <v>276</v>
      </c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73"/>
    </row>
    <row r="75" spans="2:16" ht="14.25" hidden="1" customHeight="1">
      <c r="B75" s="172"/>
      <c r="C75" s="148"/>
      <c r="D75" s="149" t="s">
        <v>277</v>
      </c>
      <c r="E75" s="174" t="s">
        <v>658</v>
      </c>
      <c r="F75" s="146"/>
      <c r="G75" s="146"/>
      <c r="H75" s="148"/>
      <c r="I75" s="148"/>
      <c r="J75" s="146"/>
      <c r="K75" s="148"/>
      <c r="L75" s="148"/>
      <c r="M75" s="148"/>
      <c r="N75" s="148"/>
      <c r="O75" s="148"/>
      <c r="P75" s="173"/>
    </row>
    <row r="76" spans="2:16" ht="14.25" hidden="1" customHeight="1">
      <c r="B76" s="172"/>
      <c r="C76" s="148"/>
      <c r="D76" s="149"/>
      <c r="E76" s="175"/>
      <c r="F76" s="146"/>
      <c r="G76" s="146"/>
      <c r="H76" s="148"/>
      <c r="I76" s="148"/>
      <c r="J76" s="148"/>
      <c r="K76" s="148"/>
      <c r="L76" s="148"/>
      <c r="M76" s="148"/>
      <c r="N76" s="148"/>
      <c r="O76" s="148"/>
      <c r="P76" s="173"/>
    </row>
    <row r="77" spans="2:16" ht="14.25" hidden="1" customHeight="1">
      <c r="B77" s="172"/>
      <c r="C77" s="148"/>
      <c r="D77" s="176" t="s">
        <v>295</v>
      </c>
      <c r="E77" s="177">
        <v>0.14899999999999999</v>
      </c>
      <c r="F77" s="149" t="s">
        <v>177</v>
      </c>
      <c r="G77" s="55">
        <f>E72</f>
        <v>0</v>
      </c>
      <c r="H77" s="149" t="s">
        <v>659</v>
      </c>
      <c r="I77" s="160">
        <v>2.2799999999999998</v>
      </c>
      <c r="J77" s="144" t="s">
        <v>660</v>
      </c>
      <c r="K77" s="178"/>
      <c r="L77" s="148"/>
      <c r="M77" s="148"/>
      <c r="N77" s="148"/>
      <c r="O77" s="148"/>
      <c r="P77" s="173"/>
    </row>
    <row r="78" spans="2:16" ht="14.25" hidden="1" customHeight="1">
      <c r="B78" s="172"/>
      <c r="C78" s="148"/>
      <c r="D78" s="149"/>
      <c r="E78" s="175"/>
      <c r="F78" s="146"/>
      <c r="G78" s="146"/>
      <c r="H78" s="148"/>
      <c r="I78" s="148"/>
      <c r="J78" s="148"/>
      <c r="K78" s="148"/>
      <c r="L78" s="148"/>
      <c r="M78" s="148"/>
      <c r="N78" s="148"/>
      <c r="O78" s="148"/>
      <c r="P78" s="173"/>
    </row>
    <row r="79" spans="2:16" ht="14.25" hidden="1" customHeight="1">
      <c r="B79" s="172"/>
      <c r="C79" s="148"/>
      <c r="D79" s="149" t="s">
        <v>34</v>
      </c>
      <c r="E79" s="179">
        <f>ROUND((E77*G77+I77)*K77,2)</f>
        <v>0</v>
      </c>
      <c r="F79" s="163" t="s">
        <v>278</v>
      </c>
      <c r="G79" s="146"/>
      <c r="H79" s="148"/>
      <c r="I79" s="146" t="s">
        <v>279</v>
      </c>
      <c r="J79" s="146"/>
      <c r="K79" s="148"/>
      <c r="L79" s="148"/>
      <c r="M79" s="148"/>
      <c r="N79" s="148"/>
      <c r="O79" s="148"/>
      <c r="P79" s="173"/>
    </row>
    <row r="80" spans="2:16" ht="14.25" hidden="1" customHeight="1">
      <c r="B80" s="172"/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73"/>
    </row>
    <row r="81" spans="2:16" ht="14.25" hidden="1" customHeight="1">
      <c r="B81" s="172"/>
      <c r="C81" s="146" t="s">
        <v>280</v>
      </c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73"/>
    </row>
    <row r="82" spans="2:16" ht="14.25" hidden="1" customHeight="1">
      <c r="B82" s="172"/>
      <c r="C82" s="148"/>
      <c r="D82" s="149" t="s">
        <v>661</v>
      </c>
      <c r="E82" s="151">
        <f>IF(E72&lt;=40,2,2.5)</f>
        <v>2</v>
      </c>
      <c r="F82" s="146" t="s">
        <v>11</v>
      </c>
      <c r="G82" s="146" t="s">
        <v>282</v>
      </c>
      <c r="H82" s="148"/>
      <c r="I82" s="148"/>
      <c r="J82" s="148"/>
      <c r="K82" s="148"/>
      <c r="L82" s="148"/>
      <c r="M82" s="148"/>
      <c r="N82" s="148"/>
      <c r="O82" s="148"/>
      <c r="P82" s="173"/>
    </row>
    <row r="83" spans="2:16" ht="14.25" hidden="1" customHeight="1">
      <c r="B83" s="172"/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73"/>
    </row>
    <row r="84" spans="2:16" ht="14.25" hidden="1" customHeight="1">
      <c r="B84" s="172"/>
      <c r="C84" s="146" t="s">
        <v>283</v>
      </c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73"/>
    </row>
    <row r="85" spans="2:16" ht="14.25" hidden="1" customHeight="1">
      <c r="B85" s="172"/>
      <c r="C85" s="148"/>
      <c r="D85" s="180" t="s">
        <v>662</v>
      </c>
      <c r="E85" s="180"/>
      <c r="F85" s="55"/>
      <c r="G85" s="149" t="s">
        <v>284</v>
      </c>
      <c r="H85" s="151">
        <f>E82</f>
        <v>2</v>
      </c>
      <c r="I85" s="149" t="s">
        <v>321</v>
      </c>
      <c r="J85" s="178">
        <f>ROUND(ABS(F85-H85),2)</f>
        <v>2</v>
      </c>
      <c r="K85" s="144" t="s">
        <v>341</v>
      </c>
      <c r="L85" s="149" t="str">
        <f>IF(J85&gt;=0.33,"≧","＞")</f>
        <v>≧</v>
      </c>
      <c r="M85" s="181">
        <v>0.33</v>
      </c>
      <c r="N85" s="144" t="s">
        <v>663</v>
      </c>
      <c r="O85" s="148"/>
      <c r="P85" s="173"/>
    </row>
    <row r="86" spans="2:16" ht="14.25" hidden="1" customHeight="1">
      <c r="B86" s="172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73"/>
    </row>
    <row r="87" spans="2:16" ht="14.25" hidden="1" customHeight="1">
      <c r="B87" s="172"/>
      <c r="C87" s="146" t="s">
        <v>285</v>
      </c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73"/>
    </row>
    <row r="88" spans="2:16" ht="14.25" hidden="1" customHeight="1">
      <c r="B88" s="172"/>
      <c r="C88" s="148"/>
      <c r="D88" s="182" t="s">
        <v>286</v>
      </c>
      <c r="E88" s="183"/>
      <c r="F88" s="184"/>
      <c r="G88" s="183"/>
      <c r="H88" s="182" t="s">
        <v>34</v>
      </c>
      <c r="I88" s="185" t="e">
        <f>ROUND(F88/(E89*G89),2)</f>
        <v>#DIV/0!</v>
      </c>
      <c r="J88" s="148"/>
      <c r="K88" s="148"/>
      <c r="L88" s="148"/>
      <c r="M88" s="148"/>
      <c r="N88" s="148"/>
      <c r="O88" s="148"/>
      <c r="P88" s="173"/>
    </row>
    <row r="89" spans="2:16" ht="14.25" hidden="1" customHeight="1">
      <c r="B89" s="172"/>
      <c r="C89" s="148"/>
      <c r="D89" s="182"/>
      <c r="E89" s="186"/>
      <c r="F89" s="149" t="s">
        <v>254</v>
      </c>
      <c r="G89" s="151"/>
      <c r="H89" s="182"/>
      <c r="I89" s="185"/>
      <c r="J89" s="146" t="s">
        <v>287</v>
      </c>
      <c r="K89" s="148"/>
      <c r="L89" s="148"/>
      <c r="M89" s="148"/>
      <c r="N89" s="148"/>
      <c r="O89" s="148"/>
      <c r="P89" s="173"/>
    </row>
    <row r="90" spans="2:16" ht="14.25" hidden="1" customHeight="1">
      <c r="B90" s="172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73"/>
    </row>
    <row r="91" spans="2:16" ht="14.25" hidden="1" customHeight="1">
      <c r="B91" s="172"/>
      <c r="C91" s="146" t="s">
        <v>288</v>
      </c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73"/>
    </row>
    <row r="92" spans="2:16" ht="14.25" hidden="1" customHeight="1">
      <c r="B92" s="172"/>
      <c r="C92" s="148"/>
      <c r="D92" s="149" t="s">
        <v>289</v>
      </c>
      <c r="E92" s="187"/>
      <c r="F92" s="150"/>
      <c r="G92" s="150"/>
      <c r="H92" s="150"/>
      <c r="I92" s="150"/>
      <c r="J92" s="144" t="s">
        <v>290</v>
      </c>
      <c r="K92" s="150"/>
      <c r="L92" s="150"/>
      <c r="M92" s="150"/>
      <c r="N92" s="148"/>
      <c r="O92" s="148"/>
      <c r="P92" s="173"/>
    </row>
    <row r="93" spans="2:16" ht="14.25" hidden="1" customHeight="1">
      <c r="B93" s="172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73"/>
    </row>
    <row r="94" spans="2:16" ht="14.25" hidden="1" customHeight="1">
      <c r="B94" s="172"/>
      <c r="C94" s="148"/>
      <c r="D94" s="149" t="s">
        <v>173</v>
      </c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73"/>
    </row>
    <row r="95" spans="2:16" ht="14.25" hidden="1" customHeight="1">
      <c r="B95" s="172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73"/>
    </row>
    <row r="96" spans="2:16" ht="14.25" hidden="1" customHeight="1">
      <c r="B96" s="172"/>
      <c r="C96" s="148"/>
      <c r="D96" s="149" t="s">
        <v>173</v>
      </c>
      <c r="E96" s="188"/>
      <c r="F96" s="163" t="s">
        <v>664</v>
      </c>
      <c r="G96" s="148"/>
      <c r="H96" s="148"/>
      <c r="I96" s="148"/>
      <c r="J96" s="148"/>
      <c r="K96" s="148"/>
      <c r="L96" s="148"/>
      <c r="M96" s="148"/>
      <c r="N96" s="148"/>
      <c r="O96" s="148"/>
      <c r="P96" s="173"/>
    </row>
    <row r="97" spans="2:37" ht="14.25" hidden="1" customHeight="1">
      <c r="B97" s="172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73"/>
    </row>
    <row r="98" spans="2:37" ht="14.25" hidden="1" customHeight="1">
      <c r="B98" s="172"/>
      <c r="C98" s="146" t="s">
        <v>291</v>
      </c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73"/>
    </row>
    <row r="99" spans="2:37" ht="14.25" hidden="1" customHeight="1">
      <c r="B99" s="172"/>
      <c r="C99" s="146"/>
      <c r="D99" s="149" t="s">
        <v>665</v>
      </c>
      <c r="E99" s="178" t="e">
        <f>I88</f>
        <v>#DIV/0!</v>
      </c>
      <c r="F99" s="149" t="s">
        <v>254</v>
      </c>
      <c r="G99" s="151"/>
      <c r="H99" s="149" t="s">
        <v>34</v>
      </c>
      <c r="I99" s="178" t="e">
        <f>ROUND(E99*G99,2)</f>
        <v>#DIV/0!</v>
      </c>
      <c r="J99" s="146" t="s">
        <v>358</v>
      </c>
      <c r="K99" s="148"/>
      <c r="L99" s="148"/>
      <c r="M99" s="148"/>
      <c r="N99" s="148"/>
      <c r="O99" s="148"/>
      <c r="P99" s="173"/>
    </row>
    <row r="100" spans="2:37" ht="14.25" hidden="1" customHeight="1">
      <c r="B100" s="172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73"/>
    </row>
    <row r="101" spans="2:37" ht="14.25" hidden="1" customHeight="1">
      <c r="B101" s="172"/>
      <c r="C101" s="146" t="s">
        <v>293</v>
      </c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73"/>
    </row>
    <row r="102" spans="2:37" ht="14.25" hidden="1" customHeight="1">
      <c r="B102" s="172"/>
      <c r="C102" s="148"/>
      <c r="D102" s="149" t="s">
        <v>666</v>
      </c>
      <c r="E102" s="146" t="s">
        <v>271</v>
      </c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73"/>
    </row>
    <row r="103" spans="2:37" ht="14.25" hidden="1" customHeight="1">
      <c r="B103" s="172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73"/>
    </row>
    <row r="104" spans="2:37" ht="14.25" hidden="1" customHeight="1">
      <c r="B104" s="172"/>
      <c r="C104" s="148"/>
      <c r="D104" s="176" t="s">
        <v>667</v>
      </c>
      <c r="E104" s="178">
        <f>E79</f>
        <v>0</v>
      </c>
      <c r="F104" s="149" t="s">
        <v>245</v>
      </c>
      <c r="G104" s="178">
        <f>E96</f>
        <v>0</v>
      </c>
      <c r="H104" s="149" t="s">
        <v>245</v>
      </c>
      <c r="I104" s="178" t="e">
        <f>I99</f>
        <v>#DIV/0!</v>
      </c>
      <c r="J104" s="144" t="s">
        <v>261</v>
      </c>
      <c r="K104" s="149"/>
      <c r="L104" s="148"/>
      <c r="M104" s="148"/>
      <c r="N104" s="148"/>
      <c r="O104" s="148"/>
      <c r="P104" s="173"/>
    </row>
    <row r="105" spans="2:37" ht="14.25" hidden="1" customHeight="1">
      <c r="B105" s="172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73"/>
    </row>
    <row r="106" spans="2:37" ht="14.25" hidden="1" customHeight="1">
      <c r="B106" s="172"/>
      <c r="C106" s="148"/>
      <c r="D106" s="149" t="s">
        <v>651</v>
      </c>
      <c r="E106" s="189" t="e">
        <f>E104+G104+I104</f>
        <v>#DIV/0!</v>
      </c>
      <c r="F106" s="190" t="s">
        <v>278</v>
      </c>
      <c r="G106" s="149"/>
      <c r="H106" s="146"/>
      <c r="I106" s="148"/>
      <c r="J106" s="148"/>
      <c r="K106" s="148"/>
      <c r="L106" s="148"/>
      <c r="M106" s="148"/>
      <c r="N106" s="148"/>
      <c r="O106" s="148"/>
      <c r="P106" s="173"/>
    </row>
    <row r="107" spans="2:37" ht="14.25" hidden="1" customHeight="1">
      <c r="B107" s="172"/>
      <c r="C107" s="148"/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148"/>
      <c r="P107" s="173"/>
    </row>
    <row r="108" spans="2:37" ht="14.25" hidden="1" customHeight="1">
      <c r="B108" s="172"/>
      <c r="C108" s="146" t="s">
        <v>296</v>
      </c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173"/>
    </row>
    <row r="109" spans="2:37" ht="14.25" hidden="1" customHeight="1">
      <c r="B109" s="172"/>
      <c r="C109" s="148"/>
      <c r="D109" s="151" t="e">
        <f>IF(E106&lt;=10,12,IF(E106&lt;=20,9,IF(E106&lt;=30,7,IF(E106&lt;=40,6,IF(E106&lt;=50,5,IF(E106&lt;=60,10,IF(E106&lt;=80,8,IF(E106&lt;=100,7,AK109))))))))</f>
        <v>#DIV/0!</v>
      </c>
      <c r="E109" s="146" t="s">
        <v>11</v>
      </c>
      <c r="F109" s="191" t="s">
        <v>297</v>
      </c>
      <c r="G109" s="148"/>
      <c r="H109" s="148"/>
      <c r="I109" s="148"/>
      <c r="J109" s="148"/>
      <c r="K109" s="148"/>
      <c r="L109" s="148"/>
      <c r="M109" s="148"/>
      <c r="N109" s="148"/>
      <c r="O109" s="148"/>
      <c r="P109" s="173"/>
      <c r="AK109" s="148" t="e">
        <f>IF(E106&lt;=150,5,IF(E106&lt;=200,6,4))</f>
        <v>#DIV/0!</v>
      </c>
    </row>
    <row r="110" spans="2:37" ht="14.25" hidden="1" customHeight="1">
      <c r="B110" s="172"/>
      <c r="C110" s="148"/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O110" s="148"/>
      <c r="P110" s="173"/>
    </row>
    <row r="111" spans="2:37" ht="14.25" hidden="1" customHeight="1">
      <c r="B111" s="172"/>
      <c r="C111" s="146" t="s">
        <v>240</v>
      </c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73"/>
    </row>
    <row r="112" spans="2:37" ht="14.25" hidden="1" customHeight="1">
      <c r="B112" s="172"/>
      <c r="C112" s="148"/>
      <c r="D112" s="149" t="s">
        <v>668</v>
      </c>
      <c r="E112" s="146" t="s">
        <v>317</v>
      </c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173"/>
    </row>
    <row r="113" spans="2:16" ht="14.25" hidden="1" customHeight="1">
      <c r="B113" s="172"/>
      <c r="C113" s="148"/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  <c r="O113" s="148"/>
      <c r="P113" s="173"/>
    </row>
    <row r="114" spans="2:16" ht="14.25" hidden="1" customHeight="1">
      <c r="B114" s="172"/>
      <c r="C114" s="148"/>
      <c r="D114" s="149" t="s">
        <v>651</v>
      </c>
      <c r="E114" s="150">
        <v>1.5</v>
      </c>
      <c r="F114" s="149" t="s">
        <v>177</v>
      </c>
      <c r="G114" s="151"/>
      <c r="H114" s="149" t="s">
        <v>245</v>
      </c>
      <c r="I114" s="150">
        <v>5.5</v>
      </c>
      <c r="J114" s="148"/>
      <c r="K114" s="148"/>
      <c r="L114" s="148"/>
      <c r="M114" s="148"/>
      <c r="N114" s="148"/>
      <c r="O114" s="148"/>
      <c r="P114" s="173"/>
    </row>
    <row r="115" spans="2:16" ht="14.25" hidden="1" customHeight="1">
      <c r="B115" s="172"/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73"/>
    </row>
    <row r="116" spans="2:16" ht="14.25" hidden="1" customHeight="1">
      <c r="B116" s="172"/>
      <c r="C116" s="148"/>
      <c r="D116" s="149" t="s">
        <v>651</v>
      </c>
      <c r="E116" s="151">
        <f>ROUND(E114*G114+I114,1)</f>
        <v>5.5</v>
      </c>
      <c r="F116" s="146" t="s">
        <v>11</v>
      </c>
      <c r="G116" s="148"/>
      <c r="H116" s="148"/>
      <c r="I116" s="148"/>
      <c r="J116" s="148"/>
      <c r="K116" s="148"/>
      <c r="L116" s="148"/>
      <c r="M116" s="148"/>
      <c r="N116" s="148"/>
      <c r="O116" s="148"/>
      <c r="P116" s="173"/>
    </row>
    <row r="117" spans="2:16" ht="14.25" hidden="1" customHeight="1">
      <c r="B117" s="172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73"/>
    </row>
    <row r="118" spans="2:16" ht="14.25" hidden="1" customHeight="1">
      <c r="B118" s="172"/>
      <c r="C118" s="146" t="s">
        <v>301</v>
      </c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73"/>
    </row>
    <row r="119" spans="2:16" ht="14.25" hidden="1" customHeight="1">
      <c r="B119" s="172"/>
      <c r="C119" s="148"/>
      <c r="D119" s="149" t="s">
        <v>669</v>
      </c>
      <c r="E119" s="151">
        <f>E116</f>
        <v>5.5</v>
      </c>
      <c r="F119" s="149" t="s">
        <v>670</v>
      </c>
      <c r="G119" s="151" t="e">
        <f>D109</f>
        <v>#DIV/0!</v>
      </c>
      <c r="H119" s="149" t="s">
        <v>302</v>
      </c>
      <c r="I119" s="150">
        <v>1</v>
      </c>
      <c r="J119" s="148"/>
      <c r="K119" s="148"/>
      <c r="L119" s="148"/>
      <c r="M119" s="148"/>
      <c r="N119" s="148"/>
      <c r="O119" s="148"/>
      <c r="P119" s="173"/>
    </row>
    <row r="120" spans="2:16" ht="14.25" hidden="1" customHeight="1">
      <c r="B120" s="172"/>
      <c r="C120" s="148"/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  <c r="P120" s="173"/>
    </row>
    <row r="121" spans="2:16" ht="14.25" hidden="1" customHeight="1">
      <c r="B121" s="172"/>
      <c r="C121" s="148"/>
      <c r="D121" s="149" t="s">
        <v>651</v>
      </c>
      <c r="E121" s="192" t="e">
        <f>ROUNDUP(E119/G119+1,0)</f>
        <v>#DIV/0!</v>
      </c>
      <c r="F121" s="163" t="s">
        <v>303</v>
      </c>
      <c r="G121" s="148"/>
      <c r="H121" s="148"/>
      <c r="I121" s="148"/>
      <c r="J121" s="148"/>
      <c r="K121" s="148"/>
      <c r="L121" s="148"/>
      <c r="M121" s="148"/>
      <c r="N121" s="148"/>
      <c r="O121" s="148"/>
      <c r="P121" s="173"/>
    </row>
    <row r="122" spans="2:16" ht="14.25" hidden="1" customHeight="1">
      <c r="B122" s="193"/>
      <c r="C122" s="194"/>
      <c r="D122" s="194"/>
      <c r="E122" s="194"/>
      <c r="F122" s="194"/>
      <c r="G122" s="194"/>
      <c r="H122" s="194"/>
      <c r="I122" s="194"/>
      <c r="J122" s="194"/>
      <c r="K122" s="194"/>
      <c r="L122" s="194"/>
      <c r="M122" s="194"/>
      <c r="N122" s="194"/>
      <c r="O122" s="194"/>
      <c r="P122" s="195"/>
    </row>
    <row r="123" spans="2:16" ht="14.25" hidden="1" customHeight="1"/>
    <row r="124" spans="2:16" ht="14.25" hidden="1" customHeight="1"/>
    <row r="125" spans="2:16" ht="14.25" hidden="1" customHeight="1">
      <c r="C125" s="154" t="s">
        <v>304</v>
      </c>
      <c r="D125" s="157" t="s">
        <v>305</v>
      </c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</row>
    <row r="126" spans="2:16" ht="14.25" hidden="1" customHeight="1"/>
    <row r="127" spans="2:16" ht="14.25" hidden="1" customHeight="1">
      <c r="C127" s="154" t="s">
        <v>34</v>
      </c>
      <c r="D127" s="156"/>
    </row>
    <row r="128" spans="2:16" ht="14.25" hidden="1" customHeight="1"/>
    <row r="129" spans="2:12" ht="14.25" hidden="1" customHeight="1">
      <c r="C129" s="154" t="s">
        <v>34</v>
      </c>
      <c r="D129" s="156">
        <f>D127</f>
        <v>0</v>
      </c>
      <c r="E129" s="157" t="s">
        <v>278</v>
      </c>
    </row>
    <row r="130" spans="2:12" ht="14.25" hidden="1" customHeight="1"/>
    <row r="131" spans="2:12" ht="14.25" hidden="1" customHeight="1">
      <c r="D131" s="154" t="s">
        <v>671</v>
      </c>
      <c r="E131" s="157" t="s">
        <v>306</v>
      </c>
    </row>
    <row r="132" spans="2:12" ht="14.25" hidden="1" customHeight="1">
      <c r="D132" s="154" t="s">
        <v>307</v>
      </c>
      <c r="E132" s="166" t="s">
        <v>308</v>
      </c>
      <c r="J132" s="167" t="s">
        <v>260</v>
      </c>
      <c r="K132" s="165">
        <f>K133</f>
        <v>0</v>
      </c>
      <c r="L132" s="157" t="s">
        <v>672</v>
      </c>
    </row>
    <row r="133" spans="2:12" ht="14.25" hidden="1" customHeight="1">
      <c r="D133" s="154" t="s">
        <v>673</v>
      </c>
      <c r="E133" s="157" t="s">
        <v>309</v>
      </c>
      <c r="J133" s="167" t="s">
        <v>647</v>
      </c>
      <c r="K133" s="165"/>
      <c r="L133" s="157" t="s">
        <v>672</v>
      </c>
    </row>
    <row r="134" spans="2:12" ht="14.25" hidden="1" customHeight="1">
      <c r="D134" s="154" t="s">
        <v>674</v>
      </c>
      <c r="E134" s="157" t="s">
        <v>310</v>
      </c>
      <c r="J134" s="167" t="s">
        <v>647</v>
      </c>
      <c r="K134" s="156"/>
      <c r="L134" s="157" t="s">
        <v>261</v>
      </c>
    </row>
    <row r="135" spans="2:12" ht="14.25" hidden="1" customHeight="1">
      <c r="D135" s="154" t="s">
        <v>312</v>
      </c>
      <c r="E135" s="166" t="s">
        <v>313</v>
      </c>
      <c r="J135" s="167" t="s">
        <v>647</v>
      </c>
      <c r="K135" s="156">
        <f>E116</f>
        <v>5.5</v>
      </c>
      <c r="L135" s="157" t="s">
        <v>672</v>
      </c>
    </row>
    <row r="136" spans="2:12" ht="14.25" hidden="1" customHeight="1">
      <c r="D136" s="154" t="s">
        <v>675</v>
      </c>
      <c r="E136" s="157" t="s">
        <v>259</v>
      </c>
      <c r="J136" s="167" t="s">
        <v>647</v>
      </c>
      <c r="K136" s="156">
        <f>D40</f>
        <v>0</v>
      </c>
      <c r="L136" s="157" t="s">
        <v>261</v>
      </c>
    </row>
    <row r="137" spans="2:12" ht="14.25" hidden="1" customHeight="1">
      <c r="D137" s="155"/>
      <c r="E137" s="157"/>
    </row>
    <row r="138" spans="2:12" ht="14.25" hidden="1" customHeight="1">
      <c r="B138" s="141" t="s">
        <v>246</v>
      </c>
    </row>
    <row r="139" spans="2:12" ht="14.25" hidden="1" customHeight="1">
      <c r="C139" s="154" t="s">
        <v>676</v>
      </c>
      <c r="D139" s="157" t="s">
        <v>677</v>
      </c>
      <c r="H139" s="154"/>
      <c r="I139" s="157"/>
    </row>
    <row r="140" spans="2:12" ht="14.25" hidden="1" customHeight="1"/>
    <row r="141" spans="2:12" ht="14.25" hidden="1" customHeight="1">
      <c r="C141" s="154" t="s">
        <v>34</v>
      </c>
      <c r="D141" s="156">
        <f>D129</f>
        <v>0</v>
      </c>
      <c r="E141" s="154" t="s">
        <v>649</v>
      </c>
      <c r="F141" s="154">
        <v>0.13</v>
      </c>
      <c r="G141" s="154" t="s">
        <v>650</v>
      </c>
      <c r="H141" s="156">
        <f>D129</f>
        <v>0</v>
      </c>
      <c r="I141" s="154" t="s">
        <v>659</v>
      </c>
      <c r="J141" s="12">
        <v>1.6</v>
      </c>
      <c r="K141" s="157" t="s">
        <v>672</v>
      </c>
    </row>
    <row r="142" spans="2:12" ht="14.25" hidden="1" customHeight="1"/>
    <row r="143" spans="2:12" ht="14.25" hidden="1" customHeight="1">
      <c r="C143" s="154" t="s">
        <v>651</v>
      </c>
      <c r="D143" s="156">
        <f>D141/(F141*H141+J141)</f>
        <v>0</v>
      </c>
      <c r="E143" s="157" t="s">
        <v>314</v>
      </c>
      <c r="F143" s="154"/>
      <c r="G143" s="158"/>
      <c r="H143" s="157"/>
      <c r="I143" s="154"/>
      <c r="J143" s="159"/>
      <c r="K143" s="157"/>
      <c r="L143" s="160"/>
    </row>
    <row r="144" spans="2:12" ht="14.25" hidden="1" customHeight="1"/>
    <row r="145" spans="2:17" ht="14.25" hidden="1" customHeight="1">
      <c r="B145" s="141" t="s">
        <v>249</v>
      </c>
    </row>
    <row r="146" spans="2:17" ht="14.25" hidden="1" customHeight="1">
      <c r="C146" s="155"/>
      <c r="D146" s="157" t="s">
        <v>678</v>
      </c>
    </row>
    <row r="147" spans="2:17" ht="14.25" hidden="1" customHeight="1"/>
    <row r="148" spans="2:17" ht="14.25" hidden="1" customHeight="1">
      <c r="C148" s="154" t="s">
        <v>651</v>
      </c>
      <c r="D148" s="156">
        <f>D129</f>
        <v>0</v>
      </c>
      <c r="E148" s="154" t="s">
        <v>679</v>
      </c>
      <c r="F148" s="156">
        <f>D143</f>
        <v>0</v>
      </c>
    </row>
    <row r="149" spans="2:17" ht="14.25" hidden="1" customHeight="1"/>
    <row r="150" spans="2:17" ht="14.25" hidden="1" customHeight="1">
      <c r="C150" s="154" t="s">
        <v>651</v>
      </c>
      <c r="D150" s="162" t="e">
        <f>ROUND(D148/F148,1)</f>
        <v>#DIV/0!</v>
      </c>
      <c r="E150" s="163" t="s">
        <v>156</v>
      </c>
    </row>
    <row r="151" spans="2:17" ht="14.25" hidden="1" customHeight="1"/>
    <row r="152" spans="2:17" ht="14.25" hidden="1" customHeight="1"/>
    <row r="153" spans="2:17" ht="14.25" customHeight="1">
      <c r="B153" s="143" t="s">
        <v>315</v>
      </c>
    </row>
    <row r="154" spans="2:17" ht="14.25" customHeight="1"/>
    <row r="155" spans="2:17" ht="14.25" customHeight="1">
      <c r="B155" s="144" t="s">
        <v>275</v>
      </c>
      <c r="C155" s="148"/>
      <c r="D155" s="151">
        <f>'[1]基本 (1)'!D8</f>
        <v>60</v>
      </c>
      <c r="E155" s="146" t="s">
        <v>341</v>
      </c>
      <c r="F155" s="148"/>
      <c r="G155" s="148"/>
      <c r="H155" s="148"/>
      <c r="I155" s="148"/>
      <c r="J155" s="148"/>
      <c r="K155" s="148"/>
      <c r="L155" s="148"/>
      <c r="M155" s="148"/>
      <c r="N155" s="148"/>
      <c r="O155" s="148"/>
    </row>
    <row r="156" spans="2:17" ht="14.25" customHeight="1">
      <c r="B156" s="148"/>
      <c r="C156" s="148"/>
      <c r="D156" s="148"/>
      <c r="E156" s="148"/>
      <c r="F156" s="148"/>
      <c r="G156" s="148"/>
      <c r="H156" s="148"/>
      <c r="I156" s="148"/>
      <c r="J156" s="148"/>
      <c r="K156" s="148"/>
      <c r="L156" s="148"/>
      <c r="M156" s="148"/>
      <c r="N156" s="148"/>
      <c r="O156" s="148"/>
      <c r="P156" s="148"/>
      <c r="Q156" s="148"/>
    </row>
    <row r="157" spans="2:17" ht="14.25" customHeight="1">
      <c r="B157" s="146" t="s">
        <v>240</v>
      </c>
      <c r="C157" s="148"/>
      <c r="D157" s="148"/>
      <c r="E157" s="148"/>
      <c r="F157" s="148"/>
      <c r="G157" s="148"/>
      <c r="H157" s="148"/>
      <c r="J157" s="148"/>
      <c r="K157" s="148"/>
      <c r="L157" s="148"/>
      <c r="M157" s="148"/>
      <c r="N157" s="148"/>
      <c r="O157" s="148"/>
      <c r="P157" s="148"/>
      <c r="Q157" s="148"/>
    </row>
    <row r="158" spans="2:17" ht="14.25" hidden="1" customHeight="1">
      <c r="B158" s="148"/>
      <c r="C158" s="149" t="s">
        <v>316</v>
      </c>
      <c r="D158" s="146" t="s">
        <v>317</v>
      </c>
      <c r="E158" s="148"/>
      <c r="F158" s="148"/>
      <c r="I158" s="146" t="s">
        <v>318</v>
      </c>
      <c r="K158" s="148"/>
      <c r="L158" s="148"/>
      <c r="M158" s="148"/>
      <c r="N158" s="148"/>
      <c r="O158" s="148"/>
      <c r="P158" s="148"/>
      <c r="Q158" s="148"/>
    </row>
    <row r="159" spans="2:17" ht="14.25" hidden="1" customHeight="1">
      <c r="B159" s="148"/>
      <c r="C159" s="148"/>
      <c r="D159" s="148"/>
      <c r="E159" s="148"/>
      <c r="F159" s="148"/>
      <c r="G159" s="148"/>
      <c r="H159" s="148"/>
      <c r="J159" s="148"/>
      <c r="K159" s="148"/>
      <c r="L159" s="148"/>
      <c r="M159" s="148"/>
      <c r="N159" s="148"/>
      <c r="O159" s="148"/>
      <c r="P159" s="148"/>
      <c r="Q159" s="148"/>
    </row>
    <row r="160" spans="2:17" ht="14.25" hidden="1" customHeight="1">
      <c r="B160" s="148"/>
      <c r="C160" s="149" t="s">
        <v>173</v>
      </c>
      <c r="D160" s="150">
        <v>1.5</v>
      </c>
      <c r="E160" s="149" t="s">
        <v>254</v>
      </c>
      <c r="F160" s="151">
        <f>D155</f>
        <v>60</v>
      </c>
      <c r="G160" s="149" t="s">
        <v>245</v>
      </c>
      <c r="H160" s="150">
        <v>5.5</v>
      </c>
      <c r="J160" s="148"/>
      <c r="K160" s="148"/>
      <c r="L160" s="148"/>
      <c r="M160" s="148"/>
      <c r="N160" s="148"/>
      <c r="O160" s="148"/>
      <c r="P160" s="148"/>
      <c r="Q160" s="148"/>
    </row>
    <row r="161" spans="2:17" ht="14.25" hidden="1" customHeight="1">
      <c r="B161" s="148"/>
      <c r="C161" s="148"/>
      <c r="D161" s="148"/>
      <c r="E161" s="148"/>
      <c r="F161" s="148"/>
      <c r="G161" s="148"/>
      <c r="H161" s="148"/>
      <c r="J161" s="148"/>
      <c r="K161" s="148"/>
      <c r="L161" s="148"/>
      <c r="M161" s="148"/>
      <c r="N161" s="148"/>
      <c r="O161" s="148"/>
      <c r="P161" s="148"/>
      <c r="Q161" s="148"/>
    </row>
    <row r="162" spans="2:17" ht="14.25" customHeight="1">
      <c r="B162" s="148"/>
      <c r="C162" s="149" t="s">
        <v>298</v>
      </c>
      <c r="D162" s="196">
        <v>80</v>
      </c>
      <c r="E162" s="146" t="s">
        <v>11</v>
      </c>
      <c r="F162" s="148"/>
      <c r="G162" s="148"/>
      <c r="H162" s="148"/>
      <c r="J162" s="148"/>
      <c r="K162" s="148"/>
      <c r="L162" s="148"/>
      <c r="M162" s="148"/>
      <c r="N162" s="148"/>
      <c r="O162" s="148"/>
      <c r="P162" s="148"/>
      <c r="Q162" s="148"/>
    </row>
    <row r="163" spans="2:17" ht="14.25" customHeight="1">
      <c r="B163" s="148"/>
      <c r="C163" s="148"/>
      <c r="D163" s="149"/>
      <c r="E163" s="147"/>
      <c r="F163" s="146"/>
      <c r="G163" s="148"/>
      <c r="H163" s="148"/>
      <c r="I163" s="148"/>
      <c r="J163" s="148"/>
      <c r="K163" s="148"/>
      <c r="L163" s="148"/>
      <c r="M163" s="148"/>
      <c r="N163" s="148"/>
      <c r="O163" s="148"/>
      <c r="P163" s="148"/>
      <c r="Q163" s="148"/>
    </row>
    <row r="164" spans="2:17" ht="14.25" customHeight="1">
      <c r="B164" s="146" t="s">
        <v>276</v>
      </c>
      <c r="C164" s="148"/>
      <c r="D164" s="148"/>
      <c r="E164" s="148"/>
      <c r="F164" s="148"/>
      <c r="G164" s="148"/>
      <c r="H164" s="148"/>
      <c r="I164" s="148"/>
      <c r="J164" s="148"/>
      <c r="K164" s="148"/>
      <c r="L164" s="148"/>
      <c r="M164" s="148"/>
      <c r="N164" s="148"/>
      <c r="O164" s="148"/>
      <c r="P164" s="148"/>
      <c r="Q164" s="148"/>
    </row>
    <row r="165" spans="2:17" ht="14.25" customHeight="1">
      <c r="B165" s="148"/>
      <c r="C165" s="149" t="s">
        <v>277</v>
      </c>
      <c r="D165" s="174" t="s">
        <v>680</v>
      </c>
      <c r="E165" s="146"/>
      <c r="F165" s="146"/>
      <c r="G165" s="148"/>
      <c r="H165" s="148"/>
      <c r="I165" s="148"/>
      <c r="J165" s="148"/>
      <c r="K165" s="148"/>
      <c r="L165" s="148" t="s">
        <v>319</v>
      </c>
      <c r="M165" s="148"/>
      <c r="N165" s="151">
        <v>15</v>
      </c>
      <c r="O165" s="148" t="s">
        <v>7</v>
      </c>
      <c r="P165" s="148"/>
      <c r="Q165" s="148"/>
    </row>
    <row r="166" spans="2:17" ht="14.25" customHeight="1">
      <c r="B166" s="148"/>
      <c r="C166" s="149"/>
      <c r="D166" s="175"/>
      <c r="E166" s="146"/>
      <c r="F166" s="146"/>
      <c r="G166" s="148"/>
      <c r="H166" s="148"/>
      <c r="I166" s="148"/>
      <c r="J166" s="148"/>
      <c r="K166" s="148"/>
      <c r="L166" s="148" t="s">
        <v>320</v>
      </c>
      <c r="M166" s="148"/>
      <c r="N166" s="148"/>
      <c r="O166" s="148"/>
    </row>
    <row r="167" spans="2:17" ht="14.25" customHeight="1">
      <c r="B167" s="148"/>
      <c r="C167" s="149" t="s">
        <v>34</v>
      </c>
      <c r="D167" s="197">
        <f>H178/2</f>
        <v>1.4650000000000001</v>
      </c>
      <c r="E167" s="149" t="s">
        <v>177</v>
      </c>
      <c r="F167" s="55">
        <f>N165</f>
        <v>15</v>
      </c>
      <c r="G167" s="149"/>
      <c r="H167" s="160"/>
      <c r="I167" s="148"/>
      <c r="J167" s="148"/>
      <c r="K167" s="148"/>
      <c r="L167" s="148"/>
      <c r="M167" s="148"/>
      <c r="N167" s="148"/>
      <c r="O167" s="148"/>
    </row>
    <row r="168" spans="2:17" ht="14.25" customHeight="1">
      <c r="B168" s="148"/>
      <c r="C168" s="149"/>
      <c r="D168" s="175"/>
      <c r="E168" s="146"/>
      <c r="F168" s="146"/>
      <c r="G168" s="148"/>
      <c r="H168" s="148"/>
      <c r="I168" s="148"/>
      <c r="J168" s="148"/>
      <c r="K168" s="148"/>
      <c r="L168" s="148"/>
      <c r="M168" s="148"/>
      <c r="N168" s="148"/>
      <c r="O168" s="148"/>
    </row>
    <row r="169" spans="2:17" ht="14.25" customHeight="1" thickBot="1">
      <c r="B169" s="148"/>
      <c r="C169" s="149" t="s">
        <v>34</v>
      </c>
      <c r="D169" s="179">
        <f>D167*F167</f>
        <v>21.975000000000001</v>
      </c>
      <c r="E169" s="163" t="s">
        <v>278</v>
      </c>
      <c r="F169" s="146"/>
      <c r="G169" s="148"/>
      <c r="H169" s="148"/>
      <c r="I169" s="148"/>
      <c r="J169" s="148"/>
      <c r="K169" s="148"/>
      <c r="L169" s="148"/>
      <c r="M169" s="148"/>
      <c r="N169" s="148"/>
      <c r="O169" s="148"/>
    </row>
    <row r="170" spans="2:17" ht="14.25" customHeight="1">
      <c r="B170" s="148"/>
      <c r="C170" s="148"/>
      <c r="D170" s="148"/>
      <c r="E170" s="148"/>
      <c r="F170" s="148"/>
      <c r="G170" s="148"/>
      <c r="H170" s="148"/>
      <c r="I170" s="148"/>
      <c r="J170" s="148"/>
      <c r="K170" s="148"/>
      <c r="L170" s="148"/>
      <c r="M170" s="148"/>
      <c r="N170" s="148"/>
      <c r="O170" s="148"/>
    </row>
    <row r="171" spans="2:17" ht="14.25" customHeight="1">
      <c r="B171" s="146" t="s">
        <v>280</v>
      </c>
      <c r="C171" s="148"/>
      <c r="D171" s="148"/>
      <c r="E171" s="148"/>
      <c r="F171" s="148"/>
      <c r="G171" s="148"/>
      <c r="H171" s="148"/>
      <c r="I171" s="148"/>
      <c r="J171" s="148"/>
      <c r="K171" s="148"/>
      <c r="L171" s="148"/>
      <c r="M171" s="148"/>
      <c r="N171" s="148"/>
      <c r="O171" s="148"/>
    </row>
    <row r="172" spans="2:17" ht="14.25" customHeight="1">
      <c r="B172" s="148"/>
      <c r="C172" s="149" t="s">
        <v>281</v>
      </c>
      <c r="D172" s="151">
        <f>IF(D155&lt;=40,2,2.5)</f>
        <v>2.5</v>
      </c>
      <c r="E172" s="146" t="s">
        <v>11</v>
      </c>
      <c r="F172" s="146" t="s">
        <v>282</v>
      </c>
      <c r="G172" s="148"/>
      <c r="H172" s="148"/>
      <c r="I172" s="148"/>
      <c r="J172" s="148"/>
      <c r="K172" s="148"/>
      <c r="L172" s="148"/>
      <c r="M172" s="148"/>
      <c r="N172" s="148"/>
      <c r="O172" s="148"/>
    </row>
    <row r="173" spans="2:17" ht="14.25" customHeight="1">
      <c r="B173" s="148"/>
      <c r="C173" s="148"/>
      <c r="D173" s="148"/>
      <c r="E173" s="148"/>
      <c r="F173" s="148"/>
      <c r="G173" s="148"/>
      <c r="H173" s="148"/>
      <c r="I173" s="148"/>
      <c r="J173" s="148"/>
      <c r="K173" s="148"/>
      <c r="L173" s="148"/>
      <c r="M173" s="148"/>
      <c r="N173" s="148"/>
      <c r="O173" s="148"/>
    </row>
    <row r="174" spans="2:17" ht="14.25" customHeight="1">
      <c r="B174" s="146" t="s">
        <v>283</v>
      </c>
      <c r="C174" s="148"/>
      <c r="D174" s="148"/>
      <c r="E174" s="148"/>
      <c r="F174" s="148"/>
      <c r="G174" s="148"/>
      <c r="H174" s="148"/>
      <c r="I174" s="148"/>
      <c r="J174" s="148"/>
      <c r="K174" s="148"/>
      <c r="L174" s="148"/>
      <c r="M174" s="148"/>
      <c r="N174" s="148"/>
      <c r="O174" s="148"/>
    </row>
    <row r="175" spans="2:17" ht="14.25" customHeight="1">
      <c r="B175" s="148"/>
      <c r="C175" s="180" t="s">
        <v>681</v>
      </c>
      <c r="D175" s="180"/>
      <c r="E175" s="55">
        <f>'[1]基本 (1)'!H12</f>
        <v>3</v>
      </c>
      <c r="F175" s="149" t="s">
        <v>284</v>
      </c>
      <c r="G175" s="151">
        <f>D172</f>
        <v>2.5</v>
      </c>
      <c r="H175" s="149" t="s">
        <v>321</v>
      </c>
      <c r="I175" s="178">
        <f>ROUND(ABS(E175-G175),2)</f>
        <v>0.5</v>
      </c>
      <c r="J175" s="144" t="s">
        <v>11</v>
      </c>
      <c r="K175" s="149" t="str">
        <f>IF(I175&gt;=0.33,"≧","＜")</f>
        <v>≧</v>
      </c>
      <c r="L175" s="181">
        <v>0.33</v>
      </c>
      <c r="M175" s="144" t="s">
        <v>11</v>
      </c>
      <c r="N175" s="148"/>
      <c r="O175" s="148"/>
    </row>
    <row r="176" spans="2:17" ht="14.25" customHeight="1">
      <c r="B176" s="148"/>
      <c r="C176" s="148"/>
      <c r="D176" s="148"/>
      <c r="E176" s="148"/>
      <c r="F176" s="148"/>
      <c r="G176" s="148"/>
      <c r="H176" s="148"/>
      <c r="I176" s="148"/>
      <c r="J176" s="148"/>
      <c r="K176" s="148"/>
      <c r="L176" s="148"/>
      <c r="M176" s="148"/>
      <c r="N176" s="148"/>
      <c r="O176" s="148"/>
    </row>
    <row r="177" spans="2:18" ht="14.25" customHeight="1">
      <c r="B177" s="146" t="s">
        <v>285</v>
      </c>
      <c r="C177" s="148"/>
      <c r="D177" s="148"/>
      <c r="E177" s="148"/>
      <c r="F177" s="148"/>
      <c r="G177" s="148"/>
      <c r="H177" s="148"/>
      <c r="I177" s="148"/>
      <c r="J177" s="148"/>
      <c r="K177" s="148"/>
      <c r="L177" s="148"/>
      <c r="M177" s="148"/>
      <c r="N177" s="148"/>
      <c r="O177" s="148"/>
    </row>
    <row r="178" spans="2:18" ht="14.25" customHeight="1">
      <c r="B178" s="148"/>
      <c r="C178" s="182" t="s">
        <v>682</v>
      </c>
      <c r="D178" s="183"/>
      <c r="E178" s="184">
        <f>'[1]基本 (1)'!G28+('[1]基本 (1)'!G29-'[1]基本 (1)'!G29*(ROUNDDOWN(('[1]基本 (1)'!D12-1)/'[1]基本 (1)'!H14,0)/('[1]基本 (1)'!D12-1)))</f>
        <v>443.8</v>
      </c>
      <c r="F178" s="183"/>
      <c r="G178" s="182" t="s">
        <v>34</v>
      </c>
      <c r="H178" s="185">
        <f>ROUND(E178/(D179*F179),2)</f>
        <v>2.93</v>
      </c>
      <c r="I178" s="148"/>
      <c r="J178" s="148"/>
      <c r="K178" s="148"/>
      <c r="L178" s="148"/>
      <c r="M178" s="148"/>
      <c r="N178" s="148"/>
      <c r="O178" s="148"/>
    </row>
    <row r="179" spans="2:18" ht="14.25" customHeight="1">
      <c r="B179" s="148"/>
      <c r="C179" s="182"/>
      <c r="D179" s="186">
        <f>'[1]基本 (1)'!D12/'[1]基本 (1)'!H14</f>
        <v>1</v>
      </c>
      <c r="E179" s="149" t="s">
        <v>177</v>
      </c>
      <c r="F179" s="151">
        <f>'[1]基本 (1)'!N7</f>
        <v>151.4</v>
      </c>
      <c r="G179" s="182"/>
      <c r="H179" s="185"/>
      <c r="I179" s="146" t="s">
        <v>287</v>
      </c>
      <c r="J179" s="148"/>
      <c r="K179" s="148"/>
      <c r="L179" s="148"/>
      <c r="M179" s="148"/>
      <c r="N179" s="148"/>
      <c r="O179" s="148"/>
    </row>
    <row r="180" spans="2:18" ht="14.25" customHeight="1">
      <c r="B180" s="148"/>
      <c r="C180" s="148"/>
      <c r="D180" s="148"/>
      <c r="E180" s="148"/>
      <c r="F180" s="148"/>
      <c r="G180" s="148"/>
      <c r="H180" s="148"/>
      <c r="I180" s="148"/>
      <c r="J180" s="148"/>
      <c r="K180" s="148"/>
      <c r="L180" s="148"/>
      <c r="M180" s="148"/>
      <c r="N180" s="148"/>
      <c r="O180" s="148"/>
    </row>
    <row r="181" spans="2:18" ht="14.25" customHeight="1">
      <c r="B181" s="146" t="s">
        <v>288</v>
      </c>
      <c r="C181" s="148"/>
      <c r="D181" s="148"/>
      <c r="E181" s="148"/>
      <c r="F181" s="148"/>
      <c r="G181" s="148"/>
      <c r="H181" s="148"/>
      <c r="I181" s="148"/>
      <c r="J181" s="148"/>
      <c r="K181" s="148"/>
      <c r="L181" s="148"/>
      <c r="M181" s="148"/>
      <c r="N181" s="148"/>
      <c r="O181" s="148"/>
    </row>
    <row r="182" spans="2:18" ht="14.25" customHeight="1">
      <c r="B182" s="148"/>
      <c r="C182" s="149" t="s">
        <v>289</v>
      </c>
      <c r="D182" s="187" t="s">
        <v>322</v>
      </c>
      <c r="E182" s="150"/>
      <c r="F182" s="150"/>
      <c r="G182" s="150"/>
      <c r="H182" s="150"/>
      <c r="I182" s="144" t="s">
        <v>290</v>
      </c>
      <c r="K182" s="150"/>
      <c r="L182" s="150"/>
      <c r="M182" s="148"/>
      <c r="N182" s="148"/>
      <c r="O182" s="148"/>
    </row>
    <row r="183" spans="2:18" ht="14.25" customHeight="1">
      <c r="B183" s="148"/>
      <c r="C183" s="148"/>
      <c r="D183" s="148"/>
      <c r="E183" s="148"/>
      <c r="F183" s="148"/>
      <c r="G183" s="148"/>
      <c r="H183" s="148"/>
      <c r="I183" s="148"/>
      <c r="J183" s="148"/>
      <c r="K183" s="148"/>
      <c r="L183" s="148"/>
      <c r="M183" s="148"/>
      <c r="N183" s="148"/>
      <c r="O183" s="148"/>
    </row>
    <row r="184" spans="2:18" ht="14.25" customHeight="1">
      <c r="B184" s="148"/>
      <c r="C184" s="149" t="s">
        <v>34</v>
      </c>
      <c r="D184" s="181">
        <v>1.65</v>
      </c>
      <c r="E184" s="198" t="s">
        <v>323</v>
      </c>
      <c r="F184" s="178">
        <f>H178</f>
        <v>2.93</v>
      </c>
      <c r="G184" s="198" t="s">
        <v>324</v>
      </c>
      <c r="H184" s="199">
        <v>3</v>
      </c>
      <c r="I184" s="198" t="s">
        <v>32</v>
      </c>
      <c r="J184" s="178">
        <f>I175</f>
        <v>0.5</v>
      </c>
      <c r="K184" s="198" t="s">
        <v>76</v>
      </c>
      <c r="L184" s="198">
        <v>1</v>
      </c>
      <c r="M184" s="198" t="s">
        <v>186</v>
      </c>
      <c r="N184" s="178">
        <f>IF('[1]基本 (1)'!D14=0,1,IF('[1]基本 (1)'!D14&lt;=10,1.05,IF('[1]基本 (1)'!D14&lt;=20,IF(J85&lt;0.6,1.15,1.1),IF(J85&lt;0.35,1.3,IF(J85&lt;0.6,1.25,IF(J85&lt;0.8,1.2,1.15))))))</f>
        <v>1</v>
      </c>
      <c r="O184" s="198"/>
      <c r="P184" s="200"/>
      <c r="Q184" s="201"/>
      <c r="R184" s="201"/>
    </row>
    <row r="185" spans="2:18" ht="14.25" customHeight="1">
      <c r="B185" s="148"/>
      <c r="C185" s="148"/>
      <c r="D185" s="148"/>
      <c r="E185" s="148"/>
      <c r="F185" s="148"/>
      <c r="G185" s="148"/>
      <c r="H185" s="148"/>
      <c r="I185" s="148"/>
      <c r="J185" s="148"/>
      <c r="K185" s="148"/>
      <c r="L185" s="148"/>
      <c r="M185" s="148"/>
      <c r="N185" s="148"/>
      <c r="O185" s="148"/>
    </row>
    <row r="186" spans="2:18" ht="14.25" customHeight="1" thickBot="1">
      <c r="B186" s="148"/>
      <c r="C186" s="149" t="s">
        <v>34</v>
      </c>
      <c r="D186" s="188">
        <f>ROUND(D184*F184*(H184*J184+L184)*N184,2)</f>
        <v>12.09</v>
      </c>
      <c r="E186" s="163" t="s">
        <v>278</v>
      </c>
      <c r="F186" s="148"/>
      <c r="G186" s="148"/>
      <c r="H186" s="148"/>
      <c r="I186" s="148"/>
      <c r="J186" s="148"/>
      <c r="K186" s="148"/>
      <c r="L186" s="148"/>
      <c r="M186" s="148"/>
      <c r="N186" s="148"/>
      <c r="O186" s="148"/>
    </row>
    <row r="187" spans="2:18" ht="14.25" customHeight="1">
      <c r="B187" s="148"/>
      <c r="C187" s="148"/>
      <c r="D187" s="148"/>
      <c r="E187" s="148"/>
      <c r="F187" s="148"/>
      <c r="G187" s="148"/>
      <c r="H187" s="148"/>
      <c r="I187" s="148"/>
      <c r="J187" s="148"/>
      <c r="K187" s="148"/>
      <c r="L187" s="148"/>
      <c r="M187" s="148"/>
      <c r="N187" s="148"/>
      <c r="O187" s="148"/>
      <c r="P187" s="148"/>
      <c r="Q187" s="148"/>
      <c r="R187" s="148"/>
    </row>
    <row r="188" spans="2:18" ht="14.25" customHeight="1">
      <c r="B188" s="146" t="s">
        <v>291</v>
      </c>
      <c r="C188" s="148"/>
      <c r="D188" s="148"/>
      <c r="E188" s="148"/>
      <c r="F188" s="148"/>
      <c r="G188" s="148"/>
      <c r="H188" s="148"/>
      <c r="I188" s="148"/>
      <c r="J188" s="148"/>
      <c r="K188" s="148"/>
      <c r="L188" s="148"/>
      <c r="M188" s="148"/>
      <c r="N188" s="148"/>
      <c r="O188" s="148"/>
      <c r="P188" s="148"/>
      <c r="Q188" s="148"/>
      <c r="R188" s="148"/>
    </row>
    <row r="189" spans="2:18" ht="14.25" customHeight="1">
      <c r="B189" s="148"/>
      <c r="C189" s="146"/>
      <c r="D189" s="149" t="s">
        <v>292</v>
      </c>
      <c r="E189" s="178">
        <f>H178</f>
        <v>2.93</v>
      </c>
      <c r="F189" s="149" t="s">
        <v>242</v>
      </c>
      <c r="G189" s="151">
        <f>'[1]基本 (1)'!D8</f>
        <v>60</v>
      </c>
      <c r="H189" s="149" t="s">
        <v>34</v>
      </c>
      <c r="I189" s="202">
        <f>ROUND(E189*G189,2)</f>
        <v>175.8</v>
      </c>
      <c r="J189" s="146" t="s">
        <v>278</v>
      </c>
      <c r="K189" s="148"/>
      <c r="L189" s="148"/>
      <c r="M189" s="148"/>
      <c r="N189" s="148"/>
      <c r="O189" s="148"/>
      <c r="P189" s="148"/>
      <c r="Q189" s="148"/>
      <c r="R189" s="148"/>
    </row>
    <row r="190" spans="2:18" ht="14.25" customHeight="1">
      <c r="B190" s="148"/>
      <c r="C190" s="148"/>
      <c r="D190" s="148"/>
      <c r="E190" s="148"/>
      <c r="F190" s="148"/>
      <c r="G190" s="148"/>
      <c r="H190" s="148"/>
      <c r="I190" s="148"/>
      <c r="J190" s="148"/>
      <c r="K190" s="148"/>
      <c r="L190" s="148"/>
      <c r="M190" s="148"/>
      <c r="N190" s="148"/>
      <c r="O190" s="148"/>
      <c r="P190" s="148"/>
      <c r="Q190" s="148"/>
      <c r="R190" s="148"/>
    </row>
    <row r="191" spans="2:18" ht="14.25" hidden="1" customHeight="1">
      <c r="B191" s="146" t="s">
        <v>293</v>
      </c>
      <c r="C191" s="148"/>
      <c r="D191" s="148"/>
      <c r="E191" s="148"/>
      <c r="F191" s="148"/>
      <c r="G191" s="148"/>
      <c r="H191" s="148"/>
      <c r="I191" s="148"/>
      <c r="J191" s="148"/>
      <c r="K191" s="148"/>
      <c r="L191" s="148"/>
      <c r="M191" s="148"/>
      <c r="N191" s="148"/>
      <c r="O191" s="148"/>
      <c r="P191" s="148"/>
      <c r="Q191" s="148"/>
      <c r="R191" s="148"/>
    </row>
    <row r="192" spans="2:18" ht="14.25" hidden="1" customHeight="1">
      <c r="B192" s="148"/>
      <c r="C192" s="149" t="s">
        <v>270</v>
      </c>
      <c r="D192" s="146" t="s">
        <v>294</v>
      </c>
      <c r="E192" s="148"/>
      <c r="F192" s="148"/>
      <c r="G192" s="148"/>
      <c r="H192" s="148"/>
      <c r="I192" s="148"/>
      <c r="J192" s="148"/>
      <c r="K192" s="148"/>
      <c r="L192" s="148"/>
      <c r="M192" s="148"/>
      <c r="N192" s="148"/>
      <c r="O192" s="148"/>
      <c r="P192" s="148"/>
      <c r="Q192" s="148"/>
      <c r="R192" s="148"/>
    </row>
    <row r="193" spans="2:18" ht="14.25" hidden="1" customHeight="1">
      <c r="B193" s="148"/>
      <c r="C193" s="148"/>
      <c r="D193" s="148"/>
      <c r="E193" s="148"/>
      <c r="F193" s="148"/>
      <c r="G193" s="148"/>
      <c r="H193" s="148"/>
      <c r="I193" s="148"/>
      <c r="J193" s="148"/>
      <c r="K193" s="148"/>
      <c r="L193" s="148"/>
      <c r="M193" s="148"/>
      <c r="N193" s="148"/>
      <c r="O193" s="148"/>
      <c r="P193" s="148"/>
      <c r="Q193" s="148"/>
      <c r="R193" s="148"/>
    </row>
    <row r="194" spans="2:18" ht="14.25" hidden="1" customHeight="1">
      <c r="B194" s="148"/>
      <c r="C194" s="176" t="s">
        <v>253</v>
      </c>
      <c r="D194" s="178">
        <f>D169</f>
        <v>21.975000000000001</v>
      </c>
      <c r="E194" s="149" t="s">
        <v>245</v>
      </c>
      <c r="F194" s="178">
        <f>D186</f>
        <v>12.09</v>
      </c>
      <c r="G194" s="149" t="s">
        <v>245</v>
      </c>
      <c r="H194" s="178">
        <f>I189</f>
        <v>175.8</v>
      </c>
      <c r="I194" s="144" t="s">
        <v>261</v>
      </c>
      <c r="J194" s="149"/>
      <c r="K194" s="148"/>
      <c r="L194" s="148"/>
      <c r="M194" s="148"/>
      <c r="N194" s="148"/>
      <c r="O194" s="148"/>
    </row>
    <row r="195" spans="2:18" ht="14.25" hidden="1" customHeight="1">
      <c r="B195" s="148"/>
      <c r="C195" s="148"/>
      <c r="D195" s="148"/>
      <c r="E195" s="148"/>
      <c r="F195" s="148"/>
      <c r="G195" s="148"/>
      <c r="H195" s="148"/>
      <c r="I195" s="148"/>
      <c r="J195" s="148"/>
      <c r="K195" s="148"/>
      <c r="L195" s="148"/>
      <c r="M195" s="148"/>
      <c r="N195" s="148"/>
      <c r="O195" s="148"/>
    </row>
    <row r="196" spans="2:18" ht="14.25" hidden="1" customHeight="1">
      <c r="B196" s="148"/>
      <c r="C196" s="149" t="s">
        <v>34</v>
      </c>
      <c r="D196" s="178">
        <f>D194+F194+H194</f>
        <v>209.86500000000001</v>
      </c>
      <c r="E196" s="144" t="s">
        <v>278</v>
      </c>
      <c r="F196" s="149" t="str">
        <f>IF(D196&lt;=50,"≦", IF(D196&lt;=200, "≦", "＞"))</f>
        <v>＞</v>
      </c>
      <c r="G196" s="149">
        <f>IF(D196&lt;=50, 50, 200)</f>
        <v>200</v>
      </c>
      <c r="H196" s="146" t="s">
        <v>278</v>
      </c>
      <c r="I196" s="149"/>
      <c r="M196" s="148"/>
      <c r="N196" s="148"/>
      <c r="O196" s="148"/>
    </row>
    <row r="197" spans="2:18" ht="14.25" customHeight="1">
      <c r="B197" s="148"/>
      <c r="C197" s="146" t="s">
        <v>325</v>
      </c>
      <c r="D197" s="149"/>
      <c r="E197" s="147"/>
      <c r="F197" s="146"/>
      <c r="G197" s="148"/>
      <c r="H197" s="148"/>
      <c r="I197" s="148"/>
      <c r="J197" s="148"/>
      <c r="K197" s="148"/>
      <c r="L197" s="148"/>
      <c r="M197" s="148"/>
      <c r="N197" s="148"/>
      <c r="O197" s="148"/>
    </row>
    <row r="198" spans="2:18" ht="14.25" customHeight="1" thickBot="1">
      <c r="B198" s="148"/>
      <c r="C198" s="203" t="s">
        <v>326</v>
      </c>
      <c r="D198" s="204" t="s">
        <v>327</v>
      </c>
      <c r="E198" s="205">
        <v>300</v>
      </c>
      <c r="F198" s="163" t="s">
        <v>328</v>
      </c>
      <c r="G198" s="206"/>
      <c r="H198" s="148"/>
      <c r="I198" s="148"/>
      <c r="J198" s="148"/>
      <c r="K198" s="148"/>
      <c r="L198" s="148"/>
      <c r="M198" s="148"/>
      <c r="N198" s="148"/>
      <c r="O198" s="148"/>
    </row>
    <row r="199" spans="2:18" ht="14.25" customHeight="1">
      <c r="B199" s="148"/>
      <c r="C199" s="148"/>
      <c r="D199" s="149"/>
      <c r="E199" s="147"/>
      <c r="F199" s="146"/>
      <c r="G199" s="148"/>
      <c r="H199" s="148"/>
      <c r="I199" s="148"/>
      <c r="J199" s="148"/>
      <c r="K199" s="148"/>
      <c r="L199" s="148"/>
      <c r="M199" s="148"/>
      <c r="N199" s="148"/>
      <c r="O199" s="148"/>
    </row>
    <row r="200" spans="2:18" ht="14.25" customHeight="1">
      <c r="B200" s="157" t="s">
        <v>329</v>
      </c>
    </row>
    <row r="201" spans="2:18" ht="14.25" customHeight="1">
      <c r="C201" s="154" t="s">
        <v>330</v>
      </c>
      <c r="D201" s="141" t="s">
        <v>331</v>
      </c>
    </row>
    <row r="202" spans="2:18" ht="14.25" customHeight="1"/>
    <row r="203" spans="2:18" ht="14.25" customHeight="1">
      <c r="C203" s="154" t="s">
        <v>34</v>
      </c>
      <c r="D203" s="207">
        <v>9.2999999999999999E-2</v>
      </c>
      <c r="E203" s="154" t="s">
        <v>177</v>
      </c>
      <c r="F203" s="158">
        <v>1.2</v>
      </c>
      <c r="G203" s="154" t="s">
        <v>177</v>
      </c>
      <c r="H203" s="155">
        <v>2</v>
      </c>
      <c r="I203" s="155" t="s">
        <v>32</v>
      </c>
      <c r="J203" s="156">
        <f>D162</f>
        <v>80</v>
      </c>
    </row>
    <row r="204" spans="2:18" ht="14.25" customHeight="1"/>
    <row r="205" spans="2:18" ht="14.25" customHeight="1">
      <c r="C205" s="154" t="s">
        <v>34</v>
      </c>
      <c r="D205" s="156">
        <f>D203*F203*H203*J203</f>
        <v>17.855999999999998</v>
      </c>
      <c r="E205" s="157" t="s">
        <v>278</v>
      </c>
    </row>
    <row r="206" spans="2:18" ht="14.25" customHeight="1"/>
    <row r="207" spans="2:18" ht="14.25" customHeight="1">
      <c r="B207" s="157" t="s">
        <v>332</v>
      </c>
    </row>
    <row r="208" spans="2:18" ht="14.25" customHeight="1">
      <c r="C208" s="154" t="s">
        <v>247</v>
      </c>
      <c r="D208" s="157" t="s">
        <v>333</v>
      </c>
    </row>
    <row r="209" spans="2:16" ht="14.25" customHeight="1"/>
    <row r="210" spans="2:16" ht="14.25" customHeight="1">
      <c r="C210" s="154" t="s">
        <v>34</v>
      </c>
      <c r="D210" s="156">
        <f>D205</f>
        <v>17.855999999999998</v>
      </c>
      <c r="E210" s="154" t="s">
        <v>266</v>
      </c>
      <c r="F210" s="155">
        <v>0.18</v>
      </c>
      <c r="G210" s="154" t="s">
        <v>177</v>
      </c>
      <c r="H210" s="156">
        <f>D205</f>
        <v>17.855999999999998</v>
      </c>
      <c r="I210" s="154" t="s">
        <v>245</v>
      </c>
      <c r="J210" s="155">
        <v>3</v>
      </c>
      <c r="K210" s="157" t="s">
        <v>261</v>
      </c>
    </row>
    <row r="211" spans="2:16" ht="14.25" customHeight="1"/>
    <row r="212" spans="2:16" ht="14.25" customHeight="1">
      <c r="C212" s="154" t="s">
        <v>34</v>
      </c>
      <c r="D212" s="10">
        <f>D210/(F210*H210+J210)</f>
        <v>2.8734744322570678</v>
      </c>
      <c r="E212" s="157" t="s">
        <v>314</v>
      </c>
      <c r="F212" s="154"/>
      <c r="G212" s="158"/>
      <c r="H212" s="157"/>
      <c r="I212" s="154"/>
      <c r="J212" s="159"/>
      <c r="K212" s="157"/>
      <c r="L212" s="160"/>
    </row>
    <row r="213" spans="2:16" ht="14.25" customHeight="1"/>
    <row r="214" spans="2:16" ht="14.25" customHeight="1">
      <c r="B214" s="157" t="s">
        <v>334</v>
      </c>
    </row>
    <row r="215" spans="2:16" ht="14.25" customHeight="1">
      <c r="C215" s="154" t="s">
        <v>335</v>
      </c>
      <c r="D215" s="157" t="s">
        <v>336</v>
      </c>
    </row>
    <row r="216" spans="2:16" ht="14.25" customHeight="1"/>
    <row r="217" spans="2:16" ht="14.25" customHeight="1">
      <c r="C217" s="154" t="s">
        <v>34</v>
      </c>
      <c r="D217" s="156">
        <f>D205</f>
        <v>17.855999999999998</v>
      </c>
      <c r="E217" s="154" t="s">
        <v>683</v>
      </c>
      <c r="F217" s="156">
        <f>D212</f>
        <v>2.8734744322570678</v>
      </c>
      <c r="G217" s="154"/>
      <c r="H217" s="155"/>
    </row>
    <row r="218" spans="2:16" ht="14.25" customHeight="1"/>
    <row r="219" spans="2:16" ht="14.25" customHeight="1" thickBot="1">
      <c r="D219" s="162">
        <f>ROUND(D217/F217,1)</f>
        <v>6.2</v>
      </c>
      <c r="E219" s="163" t="s">
        <v>156</v>
      </c>
    </row>
    <row r="220" spans="2:16" ht="14.25" customHeight="1"/>
    <row r="221" spans="2:16" ht="14.25" customHeight="1"/>
    <row r="222" spans="2:16" ht="14.25" customHeight="1">
      <c r="B222" s="143" t="s">
        <v>337</v>
      </c>
    </row>
    <row r="223" spans="2:16" ht="14.25" customHeight="1">
      <c r="O223" s="148"/>
      <c r="P223" s="148"/>
    </row>
    <row r="224" spans="2:16" ht="14.25" customHeight="1">
      <c r="B224" s="157" t="s">
        <v>338</v>
      </c>
      <c r="O224" s="148"/>
      <c r="P224" s="148"/>
    </row>
    <row r="225" spans="2:12" ht="14.25" customHeight="1">
      <c r="C225" s="154" t="s">
        <v>684</v>
      </c>
      <c r="D225" s="157" t="s">
        <v>685</v>
      </c>
      <c r="I225" s="144" t="s">
        <v>340</v>
      </c>
    </row>
    <row r="226" spans="2:12" ht="14.25" customHeight="1"/>
    <row r="227" spans="2:12" ht="14.25" customHeight="1">
      <c r="C227" s="154" t="s">
        <v>686</v>
      </c>
      <c r="D227" s="156">
        <f>D162</f>
        <v>80</v>
      </c>
      <c r="E227" s="154" t="s">
        <v>242</v>
      </c>
      <c r="F227" s="159">
        <v>2</v>
      </c>
      <c r="G227" s="154"/>
      <c r="H227" s="155"/>
    </row>
    <row r="228" spans="2:12" ht="14.25" customHeight="1"/>
    <row r="229" spans="2:12" ht="14.25" customHeight="1">
      <c r="C229" s="154" t="s">
        <v>687</v>
      </c>
      <c r="D229" s="156">
        <f>ROUND(D227*F227,1)</f>
        <v>160</v>
      </c>
      <c r="E229" s="157" t="s">
        <v>239</v>
      </c>
    </row>
    <row r="230" spans="2:12" ht="14.25" customHeight="1"/>
    <row r="231" spans="2:12" ht="14.25" customHeight="1">
      <c r="B231" s="157" t="s">
        <v>332</v>
      </c>
    </row>
    <row r="232" spans="2:12" ht="14.25" customHeight="1">
      <c r="C232" s="154" t="s">
        <v>247</v>
      </c>
      <c r="D232" s="154">
        <v>40</v>
      </c>
      <c r="E232" s="157" t="s">
        <v>342</v>
      </c>
      <c r="F232" s="154"/>
      <c r="G232" s="158"/>
      <c r="H232" s="157"/>
      <c r="I232" s="154"/>
      <c r="J232" s="159"/>
      <c r="K232" s="157"/>
      <c r="L232" s="160"/>
    </row>
    <row r="233" spans="2:12" ht="14.25" customHeight="1"/>
    <row r="234" spans="2:12" ht="14.25" customHeight="1">
      <c r="B234" s="157" t="s">
        <v>334</v>
      </c>
    </row>
    <row r="235" spans="2:12" ht="14.25" customHeight="1">
      <c r="C235" s="154" t="s">
        <v>343</v>
      </c>
      <c r="D235" s="157" t="s">
        <v>688</v>
      </c>
    </row>
    <row r="236" spans="2:12" ht="14.25" customHeight="1"/>
    <row r="237" spans="2:12" ht="14.25" customHeight="1">
      <c r="C237" s="154" t="s">
        <v>34</v>
      </c>
      <c r="D237" s="156">
        <f>D229</f>
        <v>160</v>
      </c>
      <c r="E237" s="154" t="s">
        <v>176</v>
      </c>
      <c r="F237" s="165">
        <f>D232</f>
        <v>40</v>
      </c>
      <c r="G237" s="154"/>
      <c r="H237" s="155"/>
    </row>
    <row r="238" spans="2:12" ht="14.25" customHeight="1"/>
    <row r="239" spans="2:12" ht="14.25" customHeight="1" thickBot="1">
      <c r="C239" s="154" t="s">
        <v>34</v>
      </c>
      <c r="D239" s="162">
        <f>ROUND(D237/F237,1)</f>
        <v>4</v>
      </c>
      <c r="E239" s="163" t="s">
        <v>156</v>
      </c>
    </row>
    <row r="240" spans="2:12" ht="14.25" customHeight="1"/>
    <row r="241" spans="2:10" ht="14.25" customHeight="1"/>
    <row r="242" spans="2:10" ht="14.25" customHeight="1">
      <c r="B242" s="143" t="s">
        <v>344</v>
      </c>
    </row>
    <row r="243" spans="2:10" ht="14.25" customHeight="1"/>
    <row r="244" spans="2:10" ht="14.25" customHeight="1">
      <c r="B244" s="157" t="s">
        <v>345</v>
      </c>
      <c r="D244" s="208">
        <v>1.5</v>
      </c>
      <c r="E244" s="157" t="s">
        <v>689</v>
      </c>
      <c r="F244" s="208">
        <v>6</v>
      </c>
      <c r="G244" s="157" t="s">
        <v>346</v>
      </c>
      <c r="H244" s="209">
        <v>22</v>
      </c>
      <c r="I244" s="157" t="s">
        <v>690</v>
      </c>
      <c r="J244" s="157" t="s">
        <v>348</v>
      </c>
    </row>
    <row r="245" spans="2:10" ht="14.25" customHeight="1"/>
    <row r="246" spans="2:10" ht="14.25" customHeight="1">
      <c r="B246" s="157" t="s">
        <v>349</v>
      </c>
    </row>
    <row r="247" spans="2:10" ht="14.25" customHeight="1">
      <c r="C247" s="157" t="s">
        <v>350</v>
      </c>
      <c r="I247" s="144" t="s">
        <v>340</v>
      </c>
    </row>
    <row r="248" spans="2:10" ht="14.25" customHeight="1"/>
    <row r="249" spans="2:10" ht="14.25" customHeight="1">
      <c r="C249" s="154" t="s">
        <v>241</v>
      </c>
      <c r="D249" s="156">
        <f>D14</f>
        <v>80</v>
      </c>
      <c r="E249" s="154" t="s">
        <v>176</v>
      </c>
      <c r="F249" s="156">
        <f>F244</f>
        <v>6</v>
      </c>
    </row>
    <row r="250" spans="2:10" ht="14.25" customHeight="1"/>
    <row r="251" spans="2:10" ht="14.25" customHeight="1">
      <c r="C251" s="154" t="s">
        <v>173</v>
      </c>
      <c r="D251" s="210">
        <f>ROUND(D249/F249,1)</f>
        <v>13.3</v>
      </c>
      <c r="E251" s="157" t="s">
        <v>351</v>
      </c>
      <c r="F251" s="154" t="s">
        <v>404</v>
      </c>
      <c r="G251" s="210">
        <f>ROUNDUP(D251,0)</f>
        <v>14</v>
      </c>
      <c r="H251" s="157" t="s">
        <v>351</v>
      </c>
    </row>
    <row r="252" spans="2:10" ht="14.25" customHeight="1"/>
    <row r="253" spans="2:10" ht="14.25" customHeight="1">
      <c r="C253" s="211" t="s">
        <v>352</v>
      </c>
      <c r="D253" s="210">
        <f>G251</f>
        <v>14</v>
      </c>
      <c r="E253" s="154" t="s">
        <v>691</v>
      </c>
      <c r="F253" s="155">
        <v>2</v>
      </c>
      <c r="G253" s="154" t="s">
        <v>34</v>
      </c>
      <c r="H253" s="210">
        <f>D253*F253</f>
        <v>28</v>
      </c>
      <c r="I253" s="157" t="s">
        <v>351</v>
      </c>
    </row>
    <row r="254" spans="2:10" ht="14.25" customHeight="1"/>
    <row r="255" spans="2:10" ht="14.25" customHeight="1"/>
    <row r="256" spans="2:10" ht="14.25" customHeight="1">
      <c r="B256" s="142" t="s">
        <v>353</v>
      </c>
    </row>
    <row r="257" spans="2:16" ht="14.25" customHeight="1"/>
    <row r="258" spans="2:16" ht="14.25" customHeight="1">
      <c r="B258" s="143" t="s">
        <v>354</v>
      </c>
    </row>
    <row r="259" spans="2:16" ht="14.25" customHeight="1"/>
    <row r="260" spans="2:16" ht="14.25" customHeight="1">
      <c r="B260" s="146" t="s">
        <v>276</v>
      </c>
      <c r="C260" s="148"/>
      <c r="D260" s="148"/>
      <c r="E260" s="154" t="s">
        <v>277</v>
      </c>
      <c r="F260" s="178">
        <f>D169</f>
        <v>21.975000000000001</v>
      </c>
      <c r="G260" s="146" t="s">
        <v>278</v>
      </c>
      <c r="H260" s="148"/>
      <c r="I260" s="148"/>
      <c r="J260" s="148"/>
      <c r="K260" s="148"/>
      <c r="L260" s="148"/>
      <c r="M260" s="148"/>
      <c r="N260" s="148"/>
      <c r="O260" s="148"/>
      <c r="P260" s="148"/>
    </row>
    <row r="261" spans="2:16" ht="14.25" customHeight="1">
      <c r="B261" s="148"/>
      <c r="C261" s="148"/>
      <c r="D261" s="148"/>
      <c r="E261" s="148"/>
      <c r="F261" s="148"/>
      <c r="G261" s="148"/>
      <c r="H261" s="148"/>
      <c r="I261" s="148"/>
      <c r="J261" s="148"/>
      <c r="K261" s="148"/>
      <c r="L261" s="148"/>
      <c r="M261" s="148"/>
    </row>
    <row r="262" spans="2:16" ht="14.25" customHeight="1">
      <c r="B262" s="146" t="s">
        <v>288</v>
      </c>
      <c r="C262" s="148"/>
      <c r="D262" s="148"/>
      <c r="E262" s="154" t="s">
        <v>692</v>
      </c>
      <c r="F262" s="178">
        <f>D186</f>
        <v>12.09</v>
      </c>
      <c r="G262" s="146" t="s">
        <v>278</v>
      </c>
      <c r="H262" s="148"/>
      <c r="I262" s="148"/>
      <c r="J262" s="148"/>
      <c r="K262" s="148"/>
      <c r="L262" s="148"/>
      <c r="M262" s="148"/>
    </row>
    <row r="263" spans="2:16" ht="14.25" customHeight="1"/>
    <row r="264" spans="2:16" ht="14.25" customHeight="1">
      <c r="B264" s="157" t="s">
        <v>355</v>
      </c>
    </row>
    <row r="265" spans="2:16" ht="14.25" customHeight="1">
      <c r="C265" s="154" t="s">
        <v>693</v>
      </c>
      <c r="D265" s="157" t="s">
        <v>694</v>
      </c>
      <c r="I265" s="157" t="s">
        <v>356</v>
      </c>
      <c r="L265" s="165">
        <f>'[1]基本 (1)'!L14</f>
        <v>1</v>
      </c>
      <c r="M265" s="157" t="s">
        <v>357</v>
      </c>
    </row>
    <row r="266" spans="2:16" ht="14.25" customHeight="1"/>
    <row r="267" spans="2:16" ht="14.25" customHeight="1">
      <c r="C267" s="120" t="s">
        <v>253</v>
      </c>
      <c r="D267" s="212">
        <f>F260</f>
        <v>21.975000000000001</v>
      </c>
      <c r="E267" s="154" t="s">
        <v>245</v>
      </c>
      <c r="F267" s="212">
        <f>F262</f>
        <v>12.09</v>
      </c>
      <c r="G267" s="154" t="s">
        <v>695</v>
      </c>
      <c r="H267" s="165">
        <f>L265</f>
        <v>1</v>
      </c>
    </row>
    <row r="268" spans="2:16" ht="14.25" customHeight="1"/>
    <row r="269" spans="2:16" ht="14.25" customHeight="1">
      <c r="C269" s="154" t="s">
        <v>687</v>
      </c>
      <c r="D269" s="156">
        <f>(D267+F267)*H267</f>
        <v>34.064999999999998</v>
      </c>
      <c r="E269" s="157" t="s">
        <v>696</v>
      </c>
    </row>
    <row r="270" spans="2:16" ht="14.25" customHeight="1"/>
    <row r="271" spans="2:16" ht="14.25" customHeight="1">
      <c r="B271" s="157" t="s">
        <v>332</v>
      </c>
    </row>
    <row r="272" spans="2:16" ht="14.25" customHeight="1">
      <c r="C272" s="154" t="s">
        <v>247</v>
      </c>
      <c r="D272" s="157" t="s">
        <v>697</v>
      </c>
    </row>
    <row r="273" spans="2:12" ht="14.25" customHeight="1"/>
    <row r="274" spans="2:12" ht="14.25" customHeight="1">
      <c r="C274" s="154" t="s">
        <v>34</v>
      </c>
      <c r="D274" s="156">
        <f>D269</f>
        <v>34.064999999999998</v>
      </c>
      <c r="E274" s="154" t="s">
        <v>266</v>
      </c>
      <c r="F274" s="155">
        <v>0.21</v>
      </c>
      <c r="G274" s="154" t="s">
        <v>177</v>
      </c>
      <c r="H274" s="156">
        <f>D269</f>
        <v>34.064999999999998</v>
      </c>
      <c r="I274" s="154" t="s">
        <v>245</v>
      </c>
      <c r="J274" s="155">
        <v>2</v>
      </c>
      <c r="K274" s="157" t="s">
        <v>698</v>
      </c>
    </row>
    <row r="275" spans="2:12" ht="14.25" customHeight="1"/>
    <row r="276" spans="2:12" ht="14.25" customHeight="1">
      <c r="C276" s="154" t="s">
        <v>687</v>
      </c>
      <c r="D276" s="10">
        <f>D274/(F274*H274+J274)</f>
        <v>3.7214663003282844</v>
      </c>
      <c r="E276" s="157" t="s">
        <v>314</v>
      </c>
      <c r="F276" s="154"/>
      <c r="G276" s="158"/>
      <c r="H276" s="157"/>
      <c r="I276" s="154"/>
      <c r="J276" s="159"/>
      <c r="K276" s="157"/>
      <c r="L276" s="160"/>
    </row>
    <row r="277" spans="2:12" ht="14.25" customHeight="1"/>
    <row r="278" spans="2:12" ht="14.25" customHeight="1">
      <c r="B278" s="157" t="s">
        <v>334</v>
      </c>
    </row>
    <row r="279" spans="2:12" ht="14.25" customHeight="1">
      <c r="C279" s="154" t="s">
        <v>699</v>
      </c>
      <c r="D279" s="157" t="s">
        <v>700</v>
      </c>
    </row>
    <row r="280" spans="2:12" ht="14.25" customHeight="1"/>
    <row r="281" spans="2:12" ht="14.25" customHeight="1">
      <c r="C281" s="154" t="s">
        <v>34</v>
      </c>
      <c r="D281" s="156">
        <f>D269</f>
        <v>34.064999999999998</v>
      </c>
      <c r="E281" s="154" t="s">
        <v>267</v>
      </c>
      <c r="F281" s="156">
        <f>D276</f>
        <v>3.7214663003282844</v>
      </c>
      <c r="G281" s="154"/>
      <c r="H281" s="155"/>
    </row>
    <row r="282" spans="2:12" ht="14.25" customHeight="1"/>
    <row r="283" spans="2:12" ht="14.25" customHeight="1" thickBot="1">
      <c r="C283" s="154" t="s">
        <v>34</v>
      </c>
      <c r="D283" s="162">
        <f>ROUND(D281/F281,1)</f>
        <v>9.1999999999999993</v>
      </c>
      <c r="E283" s="163" t="s">
        <v>156</v>
      </c>
    </row>
    <row r="284" spans="2:12" ht="14.25" customHeight="1"/>
    <row r="285" spans="2:12" ht="14.25" customHeight="1"/>
    <row r="286" spans="2:12" ht="14.25" customHeight="1">
      <c r="B286" s="143" t="s">
        <v>359</v>
      </c>
    </row>
    <row r="287" spans="2:12" ht="14.25" customHeight="1"/>
    <row r="288" spans="2:12" ht="14.25" customHeight="1">
      <c r="B288" s="157" t="s">
        <v>360</v>
      </c>
      <c r="D288" s="154" t="s">
        <v>361</v>
      </c>
      <c r="E288" s="213">
        <v>3</v>
      </c>
      <c r="F288" s="157" t="s">
        <v>362</v>
      </c>
    </row>
    <row r="289" spans="2:14" ht="14.25" customHeight="1"/>
    <row r="290" spans="2:14" ht="14.25" customHeight="1">
      <c r="B290" s="157" t="s">
        <v>363</v>
      </c>
    </row>
    <row r="291" spans="2:14" ht="14.25" customHeight="1">
      <c r="C291" s="214" t="s">
        <v>364</v>
      </c>
      <c r="D291" s="214"/>
      <c r="E291" s="154" t="s">
        <v>365</v>
      </c>
      <c r="F291" s="157" t="s">
        <v>294</v>
      </c>
      <c r="I291" s="157" t="s">
        <v>366</v>
      </c>
    </row>
    <row r="292" spans="2:14" ht="14.25" customHeight="1"/>
    <row r="293" spans="2:14" ht="14.25" customHeight="1">
      <c r="E293" s="154" t="s">
        <v>701</v>
      </c>
      <c r="F293" s="215">
        <f>F260</f>
        <v>21.975000000000001</v>
      </c>
      <c r="G293" s="154" t="s">
        <v>702</v>
      </c>
      <c r="H293" s="215">
        <f>F262</f>
        <v>12.09</v>
      </c>
      <c r="I293" s="154" t="s">
        <v>300</v>
      </c>
      <c r="J293" s="215">
        <f>I189</f>
        <v>175.8</v>
      </c>
    </row>
    <row r="294" spans="2:14" ht="14.25" customHeight="1"/>
    <row r="295" spans="2:14" ht="14.25" customHeight="1">
      <c r="E295" s="154" t="s">
        <v>34</v>
      </c>
      <c r="F295" s="215">
        <f>ROUND(F293+H293+J293,2)</f>
        <v>209.87</v>
      </c>
      <c r="G295" s="157" t="s">
        <v>278</v>
      </c>
      <c r="H295" s="154" t="s">
        <v>28</v>
      </c>
      <c r="I295" s="216">
        <f>IF(F295/2&lt;=10,10,IF(F295/2&lt;=15,15,IF(F295/2&lt;=20,20,IF(F295/2&lt;=30,30,IF(F295/2&lt;=40,40,IF(F295/2&lt;=60,60,IF(F295/2&lt;=80,80,IF(F295/2&lt;=100,100,120))))))))</f>
        <v>120</v>
      </c>
      <c r="J295" s="217" t="s">
        <v>367</v>
      </c>
      <c r="K295" s="217"/>
      <c r="L295" s="217"/>
      <c r="M295" s="217"/>
      <c r="N295" s="157" t="s">
        <v>368</v>
      </c>
    </row>
    <row r="296" spans="2:14" ht="14.25" customHeight="1"/>
    <row r="297" spans="2:14" ht="14.25" customHeight="1">
      <c r="C297" s="214" t="s">
        <v>369</v>
      </c>
      <c r="D297" s="218"/>
      <c r="E297" s="154" t="s">
        <v>370</v>
      </c>
      <c r="F297" s="157" t="s">
        <v>371</v>
      </c>
    </row>
    <row r="298" spans="2:14" ht="14.25" customHeight="1"/>
    <row r="299" spans="2:14" ht="14.25" customHeight="1">
      <c r="E299" s="154" t="s">
        <v>34</v>
      </c>
      <c r="F299" s="215">
        <f>J293</f>
        <v>175.8</v>
      </c>
      <c r="G299" s="154" t="s">
        <v>267</v>
      </c>
      <c r="H299" s="155">
        <v>2</v>
      </c>
      <c r="I299" s="154" t="s">
        <v>177</v>
      </c>
      <c r="J299" s="155">
        <v>1.2</v>
      </c>
    </row>
    <row r="300" spans="2:14" ht="14.25" customHeight="1"/>
    <row r="301" spans="2:14" ht="14.25" customHeight="1">
      <c r="E301" s="154" t="s">
        <v>34</v>
      </c>
      <c r="F301" s="215">
        <f>ROUND(F299/H299*J299,2)</f>
        <v>105.48</v>
      </c>
      <c r="G301" s="157" t="s">
        <v>278</v>
      </c>
      <c r="H301" s="154" t="s">
        <v>28</v>
      </c>
      <c r="I301" s="216">
        <f>IF(F301&lt;=10,10,IF(F301&lt;=15,15,IF(F301&lt;=20,20,IF(F301&lt;=30,30,IF(F301&lt;=40,40,IF(F301&lt;=60,60,IF(F301&lt;=80,80,IF(F301&lt;=100,100,120))))))))</f>
        <v>120</v>
      </c>
      <c r="J301" s="217" t="s">
        <v>367</v>
      </c>
      <c r="K301" s="217"/>
      <c r="L301" s="217"/>
      <c r="M301" s="217"/>
    </row>
    <row r="302" spans="2:14" ht="14.25" customHeight="1"/>
    <row r="303" spans="2:14" ht="14.25" customHeight="1">
      <c r="B303" s="157" t="s">
        <v>332</v>
      </c>
    </row>
    <row r="304" spans="2:14" ht="14.25" customHeight="1">
      <c r="C304" s="154" t="s">
        <v>247</v>
      </c>
      <c r="D304" s="157" t="s">
        <v>372</v>
      </c>
    </row>
    <row r="305" spans="1:16" ht="14.25" customHeight="1"/>
    <row r="306" spans="1:16" ht="14.25" customHeight="1">
      <c r="C306" s="154" t="s">
        <v>34</v>
      </c>
      <c r="D306" s="165">
        <f>E288</f>
        <v>3</v>
      </c>
      <c r="E306" s="154" t="s">
        <v>266</v>
      </c>
      <c r="F306" s="155">
        <v>0.21</v>
      </c>
      <c r="G306" s="154" t="s">
        <v>177</v>
      </c>
      <c r="H306" s="165">
        <f>E288</f>
        <v>3</v>
      </c>
      <c r="I306" s="154" t="s">
        <v>245</v>
      </c>
      <c r="J306" s="155">
        <v>2</v>
      </c>
      <c r="K306" s="157" t="s">
        <v>261</v>
      </c>
    </row>
    <row r="307" spans="1:16" ht="14.25" customHeight="1"/>
    <row r="308" spans="1:16" ht="14.25" customHeight="1">
      <c r="C308" s="157" t="s">
        <v>34</v>
      </c>
      <c r="D308" s="10">
        <f>D306/(F306*H306+J306)</f>
        <v>1.1406844106463878</v>
      </c>
      <c r="E308" s="157" t="s">
        <v>314</v>
      </c>
      <c r="F308" s="154"/>
      <c r="G308" s="158"/>
      <c r="H308" s="157"/>
      <c r="I308" s="154"/>
      <c r="J308" s="159"/>
      <c r="K308" s="157"/>
      <c r="L308" s="160"/>
    </row>
    <row r="309" spans="1:16" ht="14.25" customHeight="1"/>
    <row r="310" spans="1:16" ht="14.25" customHeight="1">
      <c r="B310" s="157" t="s">
        <v>334</v>
      </c>
    </row>
    <row r="311" spans="1:16" ht="14.25" customHeight="1">
      <c r="C311" s="154" t="s">
        <v>373</v>
      </c>
      <c r="D311" s="157" t="s">
        <v>374</v>
      </c>
    </row>
    <row r="312" spans="1:16" ht="14.25" customHeight="1"/>
    <row r="313" spans="1:16" ht="14.25" customHeight="1">
      <c r="C313" s="154" t="s">
        <v>34</v>
      </c>
      <c r="D313" s="210">
        <f>E288</f>
        <v>3</v>
      </c>
      <c r="E313" s="154" t="s">
        <v>267</v>
      </c>
      <c r="F313" s="156">
        <f>D308</f>
        <v>1.1406844106463878</v>
      </c>
      <c r="G313" s="154"/>
      <c r="H313" s="155"/>
    </row>
    <row r="314" spans="1:16" ht="14.25" customHeight="1"/>
    <row r="315" spans="1:16" ht="14.25" customHeight="1" thickBot="1">
      <c r="C315" s="154" t="s">
        <v>34</v>
      </c>
      <c r="D315" s="188">
        <f>ROUND(D313/F313,1)</f>
        <v>2.6</v>
      </c>
      <c r="E315" s="163" t="s">
        <v>156</v>
      </c>
    </row>
    <row r="316" spans="1:16" ht="14.25" customHeight="1"/>
    <row r="317" spans="1:16" ht="14.25" customHeight="1"/>
    <row r="318" spans="1:16" ht="14.25" customHeight="1">
      <c r="A318" s="219"/>
      <c r="B318" s="143" t="s">
        <v>375</v>
      </c>
    </row>
    <row r="319" spans="1:16" ht="14.25" customHeight="1">
      <c r="A319" s="219"/>
      <c r="B319" s="143"/>
    </row>
    <row r="320" spans="1:16" ht="14.25" customHeight="1">
      <c r="A320" s="219"/>
      <c r="B320" s="169" t="s">
        <v>376</v>
      </c>
      <c r="C320" s="170"/>
      <c r="D320" s="170"/>
      <c r="E320" s="170"/>
      <c r="F320" s="170"/>
      <c r="G320" s="170"/>
      <c r="H320" s="170"/>
      <c r="I320" s="170"/>
      <c r="J320" s="170"/>
      <c r="K320" s="170"/>
      <c r="L320" s="170"/>
      <c r="M320" s="170"/>
      <c r="N320" s="170"/>
      <c r="O320" s="170"/>
      <c r="P320" s="171"/>
    </row>
    <row r="321" spans="1:16" ht="14.25" customHeight="1">
      <c r="A321" s="219"/>
      <c r="B321" s="220"/>
      <c r="C321" s="148"/>
      <c r="D321" s="148"/>
      <c r="E321" s="148"/>
      <c r="F321" s="148"/>
      <c r="G321" s="148"/>
      <c r="H321" s="148"/>
      <c r="I321" s="148"/>
      <c r="J321" s="148"/>
      <c r="K321" s="148"/>
      <c r="L321" s="148"/>
      <c r="M321" s="148"/>
      <c r="N321" s="148"/>
      <c r="O321" s="148"/>
      <c r="P321" s="173"/>
    </row>
    <row r="322" spans="1:16" ht="14.25" customHeight="1">
      <c r="A322" s="219"/>
      <c r="B322" s="220"/>
      <c r="C322" s="146" t="s">
        <v>377</v>
      </c>
      <c r="D322" s="148"/>
      <c r="E322" s="154" t="s">
        <v>503</v>
      </c>
      <c r="F322" s="221">
        <v>50</v>
      </c>
      <c r="G322" s="146" t="s">
        <v>342</v>
      </c>
      <c r="I322" s="148"/>
      <c r="J322" s="148"/>
      <c r="K322" s="148"/>
      <c r="L322" s="148"/>
      <c r="M322" s="148"/>
      <c r="N322" s="148"/>
      <c r="O322" s="148"/>
      <c r="P322" s="173"/>
    </row>
    <row r="323" spans="1:16" ht="14.25" customHeight="1">
      <c r="A323" s="219"/>
      <c r="B323" s="220"/>
      <c r="C323" s="148"/>
      <c r="D323" s="148"/>
      <c r="E323" s="148"/>
      <c r="F323" s="148"/>
      <c r="G323" s="148"/>
      <c r="H323" s="148"/>
      <c r="I323" s="148"/>
      <c r="J323" s="148"/>
      <c r="K323" s="148"/>
      <c r="L323" s="148"/>
      <c r="M323" s="148"/>
      <c r="N323" s="148"/>
      <c r="O323" s="148"/>
      <c r="P323" s="173"/>
    </row>
    <row r="324" spans="1:16" ht="14.25" customHeight="1">
      <c r="A324" s="219"/>
      <c r="B324" s="220"/>
      <c r="C324" s="146" t="s">
        <v>378</v>
      </c>
      <c r="D324" s="148"/>
      <c r="E324" s="148"/>
      <c r="F324" s="148"/>
      <c r="G324" s="148"/>
      <c r="H324" s="148"/>
      <c r="I324" s="148"/>
      <c r="J324" s="148"/>
      <c r="K324" s="148"/>
      <c r="L324" s="148"/>
      <c r="M324" s="148"/>
      <c r="N324" s="148"/>
      <c r="O324" s="148"/>
      <c r="P324" s="173"/>
    </row>
    <row r="325" spans="1:16" ht="14.25" customHeight="1">
      <c r="A325" s="219"/>
      <c r="B325" s="220"/>
      <c r="C325" s="148"/>
      <c r="D325" s="182" t="s">
        <v>379</v>
      </c>
      <c r="E325" s="182" t="s">
        <v>703</v>
      </c>
      <c r="F325" s="222" t="s">
        <v>271</v>
      </c>
      <c r="G325" s="222"/>
      <c r="H325" s="222"/>
      <c r="P325" s="173"/>
    </row>
    <row r="326" spans="1:16" ht="14.25" customHeight="1">
      <c r="A326" s="219"/>
      <c r="B326" s="220"/>
      <c r="C326" s="148"/>
      <c r="D326" s="223"/>
      <c r="E326" s="223"/>
      <c r="F326" s="224">
        <v>2</v>
      </c>
      <c r="G326" s="224"/>
      <c r="H326" s="224"/>
      <c r="P326" s="173"/>
    </row>
    <row r="327" spans="1:16" ht="14.25" customHeight="1">
      <c r="A327" s="219"/>
      <c r="B327" s="220"/>
      <c r="C327" s="148"/>
      <c r="D327" s="225"/>
      <c r="E327" s="225"/>
      <c r="F327" s="148"/>
      <c r="G327" s="148"/>
      <c r="H327" s="150"/>
      <c r="I327" s="148"/>
      <c r="J327" s="148"/>
      <c r="K327" s="225"/>
      <c r="L327" s="226"/>
      <c r="M327" s="146"/>
      <c r="N327" s="225"/>
      <c r="O327" s="225"/>
      <c r="P327" s="227"/>
    </row>
    <row r="328" spans="1:16" ht="14.25" customHeight="1">
      <c r="A328" s="219"/>
      <c r="B328" s="220"/>
      <c r="C328" s="148"/>
      <c r="D328" s="225"/>
      <c r="E328" s="182" t="s">
        <v>34</v>
      </c>
      <c r="F328" s="228">
        <f>F260</f>
        <v>21.975000000000001</v>
      </c>
      <c r="G328" s="229" t="s">
        <v>245</v>
      </c>
      <c r="H328" s="228">
        <f>F262</f>
        <v>12.09</v>
      </c>
      <c r="I328" s="229" t="s">
        <v>245</v>
      </c>
      <c r="J328" s="228">
        <f>I189</f>
        <v>175.8</v>
      </c>
      <c r="K328" s="182" t="s">
        <v>173</v>
      </c>
      <c r="L328" s="230">
        <f>ROUND((F328+H328+J328)/2,1)</f>
        <v>104.9</v>
      </c>
      <c r="M328" s="148"/>
      <c r="N328" s="231"/>
      <c r="O328" s="231"/>
      <c r="P328" s="173"/>
    </row>
    <row r="329" spans="1:16" ht="14.25" customHeight="1">
      <c r="A329" s="219"/>
      <c r="B329" s="220"/>
      <c r="C329" s="148"/>
      <c r="D329" s="225"/>
      <c r="E329" s="223"/>
      <c r="F329" s="148"/>
      <c r="G329" s="148"/>
      <c r="H329" s="150">
        <v>2</v>
      </c>
      <c r="I329" s="148"/>
      <c r="J329" s="148"/>
      <c r="K329" s="223"/>
      <c r="L329" s="230"/>
      <c r="M329" s="146" t="s">
        <v>358</v>
      </c>
      <c r="N329" s="225"/>
      <c r="O329" s="225"/>
      <c r="P329" s="227"/>
    </row>
    <row r="330" spans="1:16" ht="14.25" customHeight="1">
      <c r="A330" s="219"/>
      <c r="B330" s="220"/>
      <c r="C330" s="148"/>
      <c r="D330" s="225"/>
      <c r="E330" s="225"/>
      <c r="F330" s="148"/>
      <c r="G330" s="148"/>
      <c r="H330" s="150"/>
      <c r="I330" s="148"/>
      <c r="J330" s="148"/>
      <c r="K330" s="225"/>
      <c r="L330" s="226"/>
      <c r="M330" s="146"/>
      <c r="N330" s="225"/>
      <c r="O330" s="225"/>
      <c r="P330" s="227"/>
    </row>
    <row r="331" spans="1:16" ht="14.25" customHeight="1">
      <c r="A331" s="219"/>
      <c r="B331" s="220"/>
      <c r="C331" s="148"/>
      <c r="D331" s="211"/>
      <c r="E331" s="146" t="str">
        <f>IF(F322=50,"エンドレスローラ送出し装置を使用する",IF(F322&gt;=50,"エンドレスローラ送出し装置および自走台車を使用する","送出し装置を使用する"))</f>
        <v>エンドレスローラ送出し装置を使用する</v>
      </c>
      <c r="F331" s="148"/>
      <c r="G331" s="148"/>
      <c r="H331" s="148"/>
      <c r="I331" s="148"/>
      <c r="J331" s="148"/>
      <c r="K331" s="148"/>
      <c r="L331" s="148"/>
      <c r="M331" s="148"/>
      <c r="N331" s="148"/>
      <c r="O331" s="148"/>
      <c r="P331" s="173"/>
    </row>
    <row r="332" spans="1:16" ht="14.25" customHeight="1">
      <c r="A332" s="219"/>
      <c r="B332" s="220"/>
      <c r="C332" s="148"/>
      <c r="D332" s="211"/>
      <c r="E332" s="146"/>
      <c r="F332" s="148"/>
      <c r="G332" s="148"/>
      <c r="H332" s="148"/>
      <c r="I332" s="148"/>
      <c r="J332" s="148"/>
      <c r="K332" s="148"/>
      <c r="L332" s="148"/>
      <c r="M332" s="148"/>
      <c r="N332" s="148"/>
      <c r="O332" s="148"/>
      <c r="P332" s="173"/>
    </row>
    <row r="333" spans="1:16" ht="14.25" customHeight="1">
      <c r="A333" s="219"/>
      <c r="B333" s="220"/>
      <c r="C333" s="146" t="s">
        <v>380</v>
      </c>
      <c r="D333" s="211"/>
      <c r="E333" s="146"/>
      <c r="F333" s="148"/>
      <c r="G333" s="148"/>
      <c r="H333" s="148"/>
      <c r="I333" s="148"/>
      <c r="J333" s="148"/>
      <c r="K333" s="148"/>
      <c r="L333" s="148"/>
      <c r="M333" s="148"/>
      <c r="N333" s="148"/>
      <c r="O333" s="148"/>
      <c r="P333" s="173"/>
    </row>
    <row r="334" spans="1:16" ht="14.25" customHeight="1">
      <c r="A334" s="219"/>
      <c r="B334" s="220"/>
      <c r="C334" s="148"/>
      <c r="D334" s="154" t="s">
        <v>381</v>
      </c>
      <c r="E334" s="146" t="s">
        <v>382</v>
      </c>
      <c r="F334" s="148"/>
      <c r="G334" s="148"/>
      <c r="H334" s="148"/>
      <c r="I334" s="148"/>
      <c r="J334" s="148"/>
      <c r="K334" s="148"/>
      <c r="L334" s="148"/>
      <c r="M334" s="148"/>
      <c r="N334" s="148"/>
      <c r="O334" s="148"/>
      <c r="P334" s="173"/>
    </row>
    <row r="335" spans="1:16" ht="14.25" customHeight="1">
      <c r="A335" s="219"/>
      <c r="B335" s="220"/>
      <c r="C335" s="148"/>
      <c r="D335" s="211"/>
      <c r="E335" s="146"/>
      <c r="F335" s="148"/>
      <c r="G335" s="148"/>
      <c r="H335" s="148"/>
      <c r="I335" s="148"/>
      <c r="J335" s="148"/>
      <c r="K335" s="148"/>
      <c r="L335" s="148"/>
      <c r="M335" s="148"/>
      <c r="N335" s="148"/>
      <c r="O335" s="148"/>
      <c r="P335" s="173"/>
    </row>
    <row r="336" spans="1:16" ht="14.25" customHeight="1">
      <c r="A336" s="219"/>
      <c r="B336" s="220"/>
      <c r="C336" s="148"/>
      <c r="D336" s="232" t="s">
        <v>34</v>
      </c>
      <c r="E336" s="233">
        <f>'[1]基本 (1)'!G34</f>
        <v>457.5</v>
      </c>
      <c r="F336" s="149" t="s">
        <v>254</v>
      </c>
      <c r="G336" s="150">
        <v>0.05</v>
      </c>
      <c r="H336" s="149" t="s">
        <v>254</v>
      </c>
      <c r="I336" s="150">
        <v>2</v>
      </c>
      <c r="J336" s="149" t="s">
        <v>34</v>
      </c>
      <c r="K336" s="234">
        <f>ROUND(E336*G336*I336,0)</f>
        <v>46</v>
      </c>
      <c r="L336" s="146" t="s">
        <v>358</v>
      </c>
      <c r="M336" s="149" t="str">
        <f>IF(K336&gt;N336,"＞","≦")</f>
        <v>≦</v>
      </c>
      <c r="N336" s="150">
        <v>70</v>
      </c>
      <c r="O336" s="146" t="s">
        <v>383</v>
      </c>
      <c r="P336" s="173"/>
    </row>
    <row r="337" spans="1:16" ht="14.25" customHeight="1">
      <c r="A337" s="219"/>
      <c r="B337" s="235"/>
      <c r="C337" s="194"/>
      <c r="D337" s="236"/>
      <c r="E337" s="194"/>
      <c r="F337" s="194"/>
      <c r="G337" s="194"/>
      <c r="H337" s="194"/>
      <c r="I337" s="194"/>
      <c r="J337" s="194"/>
      <c r="K337" s="194"/>
      <c r="L337" s="194"/>
      <c r="M337" s="194"/>
      <c r="N337" s="194"/>
      <c r="O337" s="194"/>
      <c r="P337" s="195"/>
    </row>
    <row r="338" spans="1:16" ht="14.25" customHeight="1">
      <c r="A338" s="219"/>
      <c r="B338" s="157"/>
    </row>
    <row r="339" spans="1:16" ht="14.25" customHeight="1">
      <c r="A339" s="219"/>
      <c r="B339" s="157" t="s">
        <v>384</v>
      </c>
    </row>
    <row r="340" spans="1:16" ht="14.25" hidden="1" customHeight="1">
      <c r="A340" s="219"/>
      <c r="B340" s="157"/>
      <c r="C340" s="166" t="s">
        <v>704</v>
      </c>
    </row>
    <row r="341" spans="1:16" ht="14.25" hidden="1" customHeight="1">
      <c r="A341" s="219"/>
      <c r="B341" s="157"/>
      <c r="C341" s="154" t="s">
        <v>385</v>
      </c>
      <c r="D341" s="157" t="s">
        <v>386</v>
      </c>
      <c r="G341" s="154" t="s">
        <v>173</v>
      </c>
      <c r="H341" s="165"/>
      <c r="I341" s="157" t="s">
        <v>387</v>
      </c>
    </row>
    <row r="342" spans="1:16" ht="14.25" hidden="1" customHeight="1">
      <c r="A342" s="219"/>
      <c r="B342" s="157"/>
    </row>
    <row r="343" spans="1:16" ht="14.25" hidden="1" customHeight="1">
      <c r="A343" s="219"/>
      <c r="B343" s="157"/>
    </row>
    <row r="344" spans="1:16" ht="14.25" hidden="1" customHeight="1">
      <c r="A344" s="219"/>
      <c r="B344" s="157"/>
      <c r="C344" s="157" t="s">
        <v>388</v>
      </c>
    </row>
    <row r="345" spans="1:16" ht="14.25" hidden="1" customHeight="1">
      <c r="A345" s="219"/>
      <c r="B345" s="157"/>
      <c r="C345" s="154" t="s">
        <v>705</v>
      </c>
      <c r="D345" s="157" t="s">
        <v>389</v>
      </c>
      <c r="F345" s="154" t="s">
        <v>392</v>
      </c>
      <c r="G345" s="165"/>
      <c r="H345" s="157" t="s">
        <v>387</v>
      </c>
    </row>
    <row r="346" spans="1:16" ht="14.25" hidden="1" customHeight="1">
      <c r="A346" s="219"/>
      <c r="B346" s="157"/>
      <c r="C346" s="154"/>
    </row>
    <row r="347" spans="1:16" ht="14.25" hidden="1" customHeight="1">
      <c r="A347" s="219"/>
      <c r="B347" s="157"/>
      <c r="F347" s="155"/>
      <c r="G347" s="155"/>
      <c r="H347" s="155"/>
      <c r="I347" s="155"/>
      <c r="J347" s="155"/>
      <c r="K347" s="159"/>
    </row>
    <row r="348" spans="1:16" ht="14.25" customHeight="1">
      <c r="A348" s="219"/>
      <c r="B348" s="157"/>
      <c r="C348" s="157" t="s">
        <v>390</v>
      </c>
    </row>
    <row r="349" spans="1:16" ht="14.25" customHeight="1">
      <c r="A349" s="219"/>
      <c r="B349" s="157"/>
      <c r="C349" s="154" t="s">
        <v>391</v>
      </c>
      <c r="D349" s="157" t="s">
        <v>389</v>
      </c>
      <c r="F349" s="154" t="s">
        <v>392</v>
      </c>
      <c r="G349" s="165">
        <f>'[1]基本 (1)'!D7+1</f>
        <v>4</v>
      </c>
      <c r="H349" s="157" t="s">
        <v>387</v>
      </c>
      <c r="I349" s="155" t="s">
        <v>393</v>
      </c>
      <c r="J349" s="237" t="s">
        <v>394</v>
      </c>
      <c r="K349" s="237"/>
      <c r="L349" s="237"/>
      <c r="M349" s="237"/>
      <c r="N349" s="210">
        <f>2</f>
        <v>2</v>
      </c>
      <c r="O349" s="141" t="s">
        <v>53</v>
      </c>
      <c r="P349" s="141" t="s">
        <v>395</v>
      </c>
    </row>
    <row r="350" spans="1:16" ht="14.25" customHeight="1">
      <c r="A350" s="219"/>
      <c r="B350" s="143"/>
      <c r="J350" s="237" t="s">
        <v>396</v>
      </c>
      <c r="K350" s="237"/>
      <c r="L350" s="237"/>
      <c r="M350" s="237"/>
      <c r="N350" s="210">
        <f>'[1]基本 (1)'!D7-1</f>
        <v>2</v>
      </c>
      <c r="O350" s="141" t="s">
        <v>53</v>
      </c>
      <c r="P350" s="141" t="s">
        <v>397</v>
      </c>
    </row>
    <row r="351" spans="1:16" ht="14.25" customHeight="1">
      <c r="A351" s="219"/>
      <c r="B351" s="157"/>
    </row>
    <row r="352" spans="1:16" ht="14.25" customHeight="1">
      <c r="A352" s="219"/>
      <c r="B352" s="157" t="s">
        <v>334</v>
      </c>
    </row>
    <row r="353" spans="1:16" ht="14.25" customHeight="1">
      <c r="A353" s="219"/>
      <c r="B353" s="157"/>
      <c r="C353" s="154" t="s">
        <v>398</v>
      </c>
      <c r="D353" s="141" t="s">
        <v>399</v>
      </c>
    </row>
    <row r="354" spans="1:16" ht="14.25" customHeight="1">
      <c r="A354" s="219"/>
      <c r="B354" s="157"/>
      <c r="C354" s="154"/>
    </row>
    <row r="355" spans="1:16" ht="14.25" customHeight="1">
      <c r="A355" s="219"/>
      <c r="B355" s="157"/>
      <c r="C355" s="120" t="s">
        <v>253</v>
      </c>
      <c r="D355" s="158">
        <v>0.3</v>
      </c>
      <c r="E355" s="155" t="s">
        <v>32</v>
      </c>
      <c r="F355" s="165">
        <f>N349</f>
        <v>2</v>
      </c>
      <c r="G355" s="155" t="s">
        <v>76</v>
      </c>
      <c r="H355" s="158">
        <v>0.4</v>
      </c>
      <c r="I355" s="155" t="s">
        <v>32</v>
      </c>
      <c r="J355" s="165">
        <f>N350</f>
        <v>2</v>
      </c>
      <c r="K355" s="155" t="s">
        <v>400</v>
      </c>
      <c r="L355" s="159">
        <v>3</v>
      </c>
      <c r="M355" s="155"/>
      <c r="N355" s="155"/>
      <c r="O355" s="155"/>
      <c r="P355" s="155"/>
    </row>
    <row r="356" spans="1:16" ht="14.25" customHeight="1">
      <c r="A356" s="219"/>
      <c r="B356" s="157"/>
      <c r="C356" s="154"/>
    </row>
    <row r="357" spans="1:16" ht="14.25" customHeight="1" thickBot="1">
      <c r="A357" s="219"/>
      <c r="B357" s="157"/>
      <c r="C357" s="154" t="s">
        <v>34</v>
      </c>
      <c r="D357" s="162">
        <f>ROUND((D355*F355+H355*J355)+L355,1)</f>
        <v>4.4000000000000004</v>
      </c>
      <c r="E357" s="163" t="s">
        <v>156</v>
      </c>
      <c r="F357" s="154"/>
      <c r="G357" s="158"/>
      <c r="H357" s="157"/>
      <c r="I357" s="154"/>
      <c r="J357" s="159"/>
      <c r="K357" s="157"/>
      <c r="L357" s="160"/>
    </row>
    <row r="358" spans="1:16" ht="14.25" customHeight="1">
      <c r="A358" s="219"/>
      <c r="B358" s="157"/>
    </row>
    <row r="359" spans="1:16" ht="14.25" customHeight="1">
      <c r="A359" s="219"/>
      <c r="B359" s="157"/>
    </row>
    <row r="360" spans="1:16" ht="14.25" customHeight="1">
      <c r="A360" s="238"/>
      <c r="B360" s="142" t="s">
        <v>401</v>
      </c>
    </row>
    <row r="361" spans="1:16" ht="14.25" customHeight="1">
      <c r="A361" s="238"/>
    </row>
    <row r="362" spans="1:16" ht="14.25" hidden="1" customHeight="1">
      <c r="A362" s="238"/>
      <c r="B362" s="143"/>
    </row>
    <row r="363" spans="1:16" ht="14.25" hidden="1" customHeight="1">
      <c r="A363" s="238"/>
      <c r="B363" s="157"/>
    </row>
    <row r="364" spans="1:16" ht="14.25" hidden="1" customHeight="1">
      <c r="A364" s="238"/>
      <c r="B364" s="157" t="s">
        <v>402</v>
      </c>
    </row>
    <row r="365" spans="1:16" ht="14.25" hidden="1" customHeight="1">
      <c r="A365" s="238"/>
      <c r="B365" s="157"/>
      <c r="C365" s="154" t="s">
        <v>706</v>
      </c>
      <c r="D365" s="157" t="s">
        <v>707</v>
      </c>
      <c r="G365" s="157" t="s">
        <v>403</v>
      </c>
    </row>
    <row r="366" spans="1:16" ht="14.25" hidden="1" customHeight="1">
      <c r="A366" s="238"/>
      <c r="B366" s="157"/>
      <c r="C366" s="154"/>
      <c r="D366" s="157"/>
    </row>
    <row r="367" spans="1:16" ht="14.25" hidden="1" customHeight="1">
      <c r="A367" s="238"/>
      <c r="B367" s="157"/>
      <c r="C367" s="154" t="s">
        <v>173</v>
      </c>
      <c r="D367" s="239"/>
      <c r="E367" s="154" t="s">
        <v>300</v>
      </c>
      <c r="F367" s="210"/>
      <c r="G367" s="154" t="s">
        <v>300</v>
      </c>
      <c r="H367" s="158">
        <v>3</v>
      </c>
    </row>
    <row r="368" spans="1:16" ht="14.25" hidden="1" customHeight="1">
      <c r="A368" s="238"/>
      <c r="B368" s="157"/>
      <c r="C368" s="154"/>
      <c r="D368" s="157"/>
    </row>
    <row r="369" spans="1:18" ht="14.25" hidden="1" customHeight="1">
      <c r="A369" s="238"/>
      <c r="B369" s="157"/>
      <c r="C369" s="154" t="s">
        <v>173</v>
      </c>
      <c r="D369" s="10">
        <f>ROUND(D367+F367+H367,1)</f>
        <v>3</v>
      </c>
      <c r="E369" s="157" t="s">
        <v>341</v>
      </c>
      <c r="F369" s="154" t="s">
        <v>404</v>
      </c>
      <c r="G369" s="165">
        <f>IF(AND(ROUNDUP(D369,0)&gt;=6,ROUNDUP(D369,0)&lt;=10),ROUNDUP(D369,0),IF(ROUNDUP(D369,0)&lt;6,6,IF(MOD(ROUNDUP(D369,0),2)&lt;&gt;0,ROUNDUP(D369,0)+1,ROUNDUP(D369,0))))</f>
        <v>6</v>
      </c>
      <c r="H369" s="157" t="s">
        <v>341</v>
      </c>
    </row>
    <row r="370" spans="1:18" ht="14.25" hidden="1" customHeight="1">
      <c r="A370" s="238"/>
      <c r="B370" s="157"/>
      <c r="C370" s="154"/>
      <c r="D370" s="157"/>
    </row>
    <row r="371" spans="1:18" ht="14.25" customHeight="1">
      <c r="A371" s="238"/>
      <c r="B371" s="157" t="s">
        <v>405</v>
      </c>
      <c r="C371" s="154"/>
      <c r="D371" s="157"/>
    </row>
    <row r="372" spans="1:18" ht="14.25" customHeight="1">
      <c r="A372" s="238"/>
      <c r="B372" s="157"/>
      <c r="C372" s="240" t="s">
        <v>406</v>
      </c>
      <c r="D372" s="240"/>
      <c r="F372" s="156">
        <f>ROUND('[1]基本 (1)'!G28/('[1]基本 (1)'!D12/'[1]基本 (1)'!H14)+'[1]基本 (1)'!G29/(('[1]基本 (1)'!D12-1)/('[1]基本 (1)'!H14-1)),1)</f>
        <v>443.8</v>
      </c>
      <c r="G372" s="157" t="s">
        <v>407</v>
      </c>
    </row>
    <row r="373" spans="1:18" ht="14.25" customHeight="1">
      <c r="A373" s="238"/>
      <c r="B373" s="157"/>
      <c r="C373" s="154"/>
      <c r="D373" s="157"/>
    </row>
    <row r="374" spans="1:18" ht="14.25" hidden="1" customHeight="1">
      <c r="A374" s="238"/>
      <c r="B374" s="157"/>
      <c r="C374" s="166" t="s">
        <v>408</v>
      </c>
      <c r="D374" s="157"/>
      <c r="E374" s="241" t="s">
        <v>708</v>
      </c>
      <c r="F374" s="210"/>
      <c r="G374" s="157" t="s">
        <v>23</v>
      </c>
    </row>
    <row r="375" spans="1:18" ht="14.25" hidden="1" customHeight="1">
      <c r="A375" s="238"/>
      <c r="B375" s="157"/>
      <c r="C375" s="154"/>
      <c r="D375" s="157"/>
    </row>
    <row r="376" spans="1:18" ht="14.25" hidden="1" customHeight="1">
      <c r="A376" s="238"/>
      <c r="B376" s="157"/>
      <c r="C376" s="166" t="s">
        <v>409</v>
      </c>
      <c r="D376" s="157"/>
    </row>
    <row r="377" spans="1:18" ht="14.25" hidden="1" customHeight="1">
      <c r="A377" s="238"/>
      <c r="B377" s="157"/>
      <c r="C377" s="166" t="s">
        <v>410</v>
      </c>
      <c r="D377" s="157"/>
      <c r="E377" s="242" t="s">
        <v>411</v>
      </c>
      <c r="F377" s="242"/>
      <c r="G377" s="242"/>
      <c r="H377" s="157" t="s">
        <v>709</v>
      </c>
    </row>
    <row r="378" spans="1:18" ht="14.25" hidden="1" customHeight="1">
      <c r="A378" s="238"/>
      <c r="B378" s="157"/>
      <c r="C378" s="154"/>
      <c r="D378" s="157"/>
      <c r="E378" s="157" t="s">
        <v>710</v>
      </c>
      <c r="H378" s="157" t="s">
        <v>711</v>
      </c>
    </row>
    <row r="379" spans="1:18" ht="14.25" hidden="1" customHeight="1">
      <c r="A379" s="238"/>
      <c r="B379" s="157"/>
      <c r="C379" s="154"/>
      <c r="D379" s="157"/>
    </row>
    <row r="380" spans="1:18" ht="14.25" customHeight="1">
      <c r="A380" s="238"/>
      <c r="B380" s="157"/>
      <c r="C380" s="243" t="s">
        <v>412</v>
      </c>
      <c r="D380" s="244"/>
      <c r="E380" s="243" t="s">
        <v>413</v>
      </c>
      <c r="F380" s="244"/>
      <c r="G380" s="243" t="s">
        <v>414</v>
      </c>
      <c r="H380" s="244"/>
      <c r="I380" s="245"/>
      <c r="J380" s="246"/>
      <c r="K380" s="246"/>
      <c r="L380" s="246"/>
      <c r="M380" s="247"/>
      <c r="N380" s="247"/>
      <c r="O380" s="246"/>
      <c r="P380" s="246"/>
      <c r="Q380" s="248"/>
      <c r="R380" s="248"/>
    </row>
    <row r="381" spans="1:18" ht="14.25" customHeight="1">
      <c r="A381" s="238"/>
      <c r="B381" s="157"/>
      <c r="C381" s="249"/>
      <c r="D381" s="250"/>
      <c r="E381" s="249"/>
      <c r="F381" s="250"/>
      <c r="G381" s="249"/>
      <c r="H381" s="250"/>
      <c r="I381" s="245"/>
      <c r="J381" s="246"/>
      <c r="K381" s="246"/>
      <c r="L381" s="246"/>
      <c r="M381" s="247"/>
      <c r="N381" s="247"/>
      <c r="O381" s="246"/>
      <c r="P381" s="246"/>
      <c r="Q381" s="248"/>
      <c r="R381" s="248"/>
    </row>
    <row r="382" spans="1:18" ht="14.25" customHeight="1">
      <c r="A382" s="238"/>
      <c r="B382" s="157"/>
      <c r="C382" s="251" t="s">
        <v>712</v>
      </c>
      <c r="D382" s="251"/>
      <c r="E382" s="252">
        <v>0.1</v>
      </c>
      <c r="F382" s="252"/>
      <c r="G382" s="253">
        <f>ROUND($F$372*E382,1)</f>
        <v>44.4</v>
      </c>
      <c r="H382" s="254"/>
      <c r="I382" s="255"/>
      <c r="J382" s="256"/>
      <c r="K382" s="257"/>
      <c r="L382" s="257"/>
      <c r="M382" s="257"/>
      <c r="N382" s="257"/>
      <c r="O382" s="257"/>
      <c r="P382" s="257"/>
      <c r="Q382" s="47"/>
      <c r="R382" s="47"/>
    </row>
    <row r="383" spans="1:18" ht="14.25" customHeight="1">
      <c r="A383" s="238"/>
      <c r="B383" s="157"/>
      <c r="C383" s="251" t="s">
        <v>446</v>
      </c>
      <c r="D383" s="251"/>
      <c r="E383" s="252">
        <v>0.38</v>
      </c>
      <c r="F383" s="252"/>
      <c r="G383" s="253">
        <f t="shared" ref="G383:G392" si="0">ROUND($F$372*E383,1)</f>
        <v>168.6</v>
      </c>
      <c r="H383" s="254"/>
      <c r="I383" s="255"/>
      <c r="J383" s="256"/>
      <c r="K383" s="257"/>
      <c r="L383" s="257"/>
      <c r="M383" s="257"/>
      <c r="N383" s="257"/>
      <c r="O383" s="257"/>
      <c r="P383" s="257"/>
      <c r="Q383" s="47"/>
      <c r="R383" s="47"/>
    </row>
    <row r="384" spans="1:18" ht="14.25" customHeight="1">
      <c r="A384" s="238"/>
      <c r="B384" s="157"/>
      <c r="C384" s="251" t="s">
        <v>416</v>
      </c>
      <c r="D384" s="251"/>
      <c r="E384" s="252">
        <v>0.4</v>
      </c>
      <c r="F384" s="252"/>
      <c r="G384" s="253">
        <f t="shared" si="0"/>
        <v>177.5</v>
      </c>
      <c r="H384" s="254"/>
      <c r="I384" s="255"/>
      <c r="J384" s="256"/>
      <c r="K384" s="257"/>
      <c r="L384" s="257"/>
      <c r="M384" s="257"/>
      <c r="N384" s="257"/>
      <c r="O384" s="257"/>
      <c r="P384" s="257"/>
      <c r="Q384" s="47"/>
      <c r="R384" s="47"/>
    </row>
    <row r="385" spans="1:18" ht="14.25" customHeight="1">
      <c r="A385" s="238"/>
      <c r="B385" s="157"/>
      <c r="C385" s="251" t="s">
        <v>50</v>
      </c>
      <c r="D385" s="251"/>
      <c r="E385" s="252">
        <v>0.12</v>
      </c>
      <c r="F385" s="252"/>
      <c r="G385" s="253">
        <f t="shared" si="0"/>
        <v>53.3</v>
      </c>
      <c r="H385" s="254"/>
      <c r="I385" s="255"/>
      <c r="J385" s="256"/>
      <c r="K385" s="257"/>
      <c r="L385" s="257"/>
      <c r="M385" s="257"/>
      <c r="N385" s="257"/>
      <c r="O385" s="257"/>
      <c r="P385" s="257"/>
      <c r="Q385" s="47"/>
      <c r="R385" s="47"/>
    </row>
    <row r="386" spans="1:18" ht="14.25" hidden="1" customHeight="1">
      <c r="A386" s="238"/>
      <c r="B386" s="157"/>
      <c r="C386" s="251" t="s">
        <v>457</v>
      </c>
      <c r="D386" s="251"/>
      <c r="E386" s="252"/>
      <c r="F386" s="252"/>
      <c r="G386" s="253">
        <f t="shared" si="0"/>
        <v>0</v>
      </c>
      <c r="H386" s="254"/>
      <c r="I386" s="255"/>
      <c r="J386" s="256"/>
      <c r="K386" s="257"/>
      <c r="L386" s="257"/>
      <c r="M386" s="257"/>
      <c r="N386" s="257"/>
      <c r="O386" s="257"/>
      <c r="P386" s="257"/>
      <c r="Q386" s="47"/>
      <c r="R386" s="47"/>
    </row>
    <row r="387" spans="1:18" ht="14.25" hidden="1" customHeight="1">
      <c r="A387" s="238"/>
      <c r="B387" s="157"/>
      <c r="C387" s="251" t="s">
        <v>417</v>
      </c>
      <c r="D387" s="251"/>
      <c r="E387" s="252"/>
      <c r="F387" s="252"/>
      <c r="G387" s="253">
        <f t="shared" si="0"/>
        <v>0</v>
      </c>
      <c r="H387" s="254"/>
      <c r="I387" s="255"/>
      <c r="J387" s="256"/>
      <c r="K387" s="257"/>
      <c r="L387" s="257"/>
      <c r="M387" s="257"/>
      <c r="N387" s="257"/>
      <c r="O387" s="257"/>
      <c r="P387" s="257"/>
      <c r="Q387" s="47"/>
      <c r="R387" s="47"/>
    </row>
    <row r="388" spans="1:18" ht="14.25" hidden="1" customHeight="1">
      <c r="A388" s="238"/>
      <c r="B388" s="157"/>
      <c r="C388" s="251" t="s">
        <v>458</v>
      </c>
      <c r="D388" s="251"/>
      <c r="E388" s="252"/>
      <c r="F388" s="252"/>
      <c r="G388" s="253">
        <f t="shared" si="0"/>
        <v>0</v>
      </c>
      <c r="H388" s="254"/>
      <c r="I388" s="255"/>
      <c r="J388" s="256"/>
      <c r="K388" s="257"/>
      <c r="L388" s="257"/>
      <c r="M388" s="257"/>
      <c r="N388" s="257"/>
      <c r="O388" s="257"/>
      <c r="P388" s="257"/>
      <c r="Q388" s="47"/>
      <c r="R388" s="47"/>
    </row>
    <row r="389" spans="1:18" ht="14.25" hidden="1" customHeight="1">
      <c r="A389" s="238"/>
      <c r="B389" s="157"/>
      <c r="C389" s="251" t="s">
        <v>459</v>
      </c>
      <c r="D389" s="251"/>
      <c r="E389" s="252"/>
      <c r="F389" s="252"/>
      <c r="G389" s="253">
        <f t="shared" si="0"/>
        <v>0</v>
      </c>
      <c r="H389" s="254"/>
      <c r="I389" s="255"/>
      <c r="J389" s="256"/>
      <c r="K389" s="257"/>
      <c r="L389" s="257"/>
      <c r="M389" s="257"/>
      <c r="N389" s="257"/>
      <c r="O389" s="257"/>
      <c r="P389" s="257"/>
      <c r="Q389" s="47"/>
      <c r="R389" s="47"/>
    </row>
    <row r="390" spans="1:18" ht="14.25" hidden="1" customHeight="1">
      <c r="A390" s="238"/>
      <c r="B390" s="157"/>
      <c r="C390" s="251" t="s">
        <v>418</v>
      </c>
      <c r="D390" s="251"/>
      <c r="E390" s="252"/>
      <c r="F390" s="252"/>
      <c r="G390" s="253">
        <f t="shared" si="0"/>
        <v>0</v>
      </c>
      <c r="H390" s="254"/>
      <c r="I390" s="255"/>
      <c r="J390" s="256"/>
      <c r="K390" s="257"/>
      <c r="L390" s="257"/>
      <c r="M390" s="257"/>
      <c r="N390" s="257"/>
      <c r="O390" s="257"/>
      <c r="P390" s="257"/>
      <c r="Q390" s="47"/>
      <c r="R390" s="47"/>
    </row>
    <row r="391" spans="1:18" ht="14.25" hidden="1" customHeight="1">
      <c r="A391" s="238"/>
      <c r="B391" s="157"/>
      <c r="C391" s="251" t="s">
        <v>419</v>
      </c>
      <c r="D391" s="251"/>
      <c r="E391" s="252"/>
      <c r="F391" s="252"/>
      <c r="G391" s="253">
        <f t="shared" si="0"/>
        <v>0</v>
      </c>
      <c r="H391" s="254"/>
      <c r="I391" s="255"/>
      <c r="J391" s="256"/>
      <c r="K391" s="257"/>
      <c r="L391" s="257"/>
      <c r="M391" s="257"/>
      <c r="N391" s="257"/>
      <c r="O391" s="257"/>
      <c r="P391" s="257"/>
      <c r="Q391" s="47"/>
      <c r="R391" s="47"/>
    </row>
    <row r="392" spans="1:18" ht="14.25" hidden="1" customHeight="1">
      <c r="A392" s="238"/>
      <c r="B392" s="157"/>
      <c r="C392" s="251" t="s">
        <v>460</v>
      </c>
      <c r="D392" s="251"/>
      <c r="E392" s="252"/>
      <c r="F392" s="252"/>
      <c r="G392" s="253">
        <f t="shared" si="0"/>
        <v>0</v>
      </c>
      <c r="H392" s="254"/>
      <c r="I392" s="255"/>
      <c r="J392" s="256"/>
      <c r="K392" s="257"/>
      <c r="L392" s="257"/>
      <c r="M392" s="257"/>
      <c r="N392" s="257"/>
      <c r="O392" s="257"/>
      <c r="P392" s="257"/>
      <c r="Q392" s="47"/>
      <c r="R392" s="47"/>
    </row>
    <row r="393" spans="1:18" ht="14.25" customHeight="1">
      <c r="A393" s="238"/>
      <c r="B393" s="157"/>
      <c r="C393" s="154"/>
      <c r="D393" s="157"/>
      <c r="I393" s="148"/>
      <c r="J393" s="148"/>
      <c r="K393" s="148"/>
      <c r="L393" s="148"/>
      <c r="M393" s="148"/>
      <c r="N393" s="148"/>
      <c r="O393" s="148"/>
      <c r="P393" s="149"/>
      <c r="Q393" s="147"/>
      <c r="R393" s="150"/>
    </row>
    <row r="394" spans="1:18" ht="14.25" customHeight="1">
      <c r="A394" s="238"/>
      <c r="B394" s="157"/>
      <c r="C394" s="154"/>
      <c r="D394" s="157"/>
    </row>
    <row r="395" spans="1:18" ht="14.25" hidden="1" customHeight="1">
      <c r="A395" s="238"/>
      <c r="B395" s="157"/>
      <c r="C395" s="166" t="s">
        <v>420</v>
      </c>
      <c r="D395" s="157"/>
      <c r="G395" s="157" t="s">
        <v>421</v>
      </c>
      <c r="K395" s="212"/>
      <c r="L395" s="157" t="s">
        <v>278</v>
      </c>
    </row>
    <row r="396" spans="1:18" ht="14.25" hidden="1" customHeight="1">
      <c r="A396" s="238"/>
      <c r="B396" s="157"/>
      <c r="C396" s="154"/>
      <c r="D396" s="157"/>
      <c r="G396" s="157" t="s">
        <v>422</v>
      </c>
      <c r="K396" s="212"/>
      <c r="L396" s="157" t="s">
        <v>278</v>
      </c>
    </row>
    <row r="397" spans="1:18" ht="14.25" hidden="1" customHeight="1">
      <c r="A397" s="238"/>
      <c r="B397" s="157"/>
      <c r="C397" s="154"/>
      <c r="D397" s="157"/>
    </row>
    <row r="398" spans="1:18" ht="14.25" hidden="1" customHeight="1">
      <c r="A398" s="238"/>
      <c r="B398" s="157" t="s">
        <v>334</v>
      </c>
      <c r="D398" s="157"/>
    </row>
    <row r="399" spans="1:18" ht="14.25" hidden="1" customHeight="1">
      <c r="A399" s="238"/>
      <c r="B399" s="157"/>
      <c r="C399" s="154"/>
      <c r="D399" s="10">
        <f>Q393</f>
        <v>0</v>
      </c>
      <c r="E399" s="154" t="s">
        <v>245</v>
      </c>
      <c r="F399" s="155">
        <v>3</v>
      </c>
      <c r="G399" s="155"/>
      <c r="H399" s="157"/>
    </row>
    <row r="400" spans="1:18" ht="14.25" hidden="1" customHeight="1">
      <c r="A400" s="238"/>
      <c r="B400" s="157"/>
      <c r="C400" s="154"/>
      <c r="D400" s="154"/>
      <c r="E400" s="154"/>
      <c r="F400" s="155"/>
      <c r="G400" s="155"/>
      <c r="H400" s="157"/>
    </row>
    <row r="401" spans="1:12" ht="14.25" hidden="1" customHeight="1">
      <c r="A401" s="238"/>
      <c r="B401" s="157"/>
      <c r="C401" s="154" t="s">
        <v>34</v>
      </c>
      <c r="D401" s="58">
        <f>ROUND(D399+F399,1)</f>
        <v>3</v>
      </c>
      <c r="E401" s="190" t="s">
        <v>156</v>
      </c>
      <c r="F401" s="154"/>
      <c r="G401" s="158"/>
      <c r="H401" s="157"/>
      <c r="I401" s="154"/>
      <c r="J401" s="159"/>
      <c r="K401" s="157"/>
      <c r="L401" s="160"/>
    </row>
    <row r="402" spans="1:12" ht="14.25" hidden="1" customHeight="1">
      <c r="A402" s="238"/>
      <c r="B402" s="157"/>
      <c r="C402" s="154"/>
      <c r="D402" s="154"/>
      <c r="E402" s="154"/>
      <c r="F402" s="155"/>
      <c r="G402" s="155"/>
      <c r="H402" s="157"/>
    </row>
    <row r="403" spans="1:12" ht="14.25" hidden="1" customHeight="1">
      <c r="A403" s="238"/>
      <c r="B403" s="157" t="s">
        <v>424</v>
      </c>
      <c r="C403" s="154"/>
      <c r="D403" s="154"/>
      <c r="E403" s="154"/>
      <c r="F403" s="155"/>
      <c r="G403" s="155"/>
      <c r="H403" s="157"/>
    </row>
    <row r="404" spans="1:12" ht="14.25" hidden="1" customHeight="1">
      <c r="A404" s="238"/>
      <c r="B404" s="157"/>
      <c r="C404" s="154">
        <v>0.54</v>
      </c>
      <c r="D404" s="154" t="s">
        <v>254</v>
      </c>
      <c r="E404" s="258">
        <f>K395</f>
        <v>0</v>
      </c>
      <c r="F404" s="154" t="s">
        <v>245</v>
      </c>
      <c r="G404" s="155">
        <v>3</v>
      </c>
      <c r="H404" s="154" t="s">
        <v>440</v>
      </c>
      <c r="I404" s="155">
        <v>2</v>
      </c>
      <c r="J404" s="154" t="s">
        <v>267</v>
      </c>
      <c r="K404" s="210"/>
      <c r="L404" s="157" t="s">
        <v>311</v>
      </c>
    </row>
    <row r="405" spans="1:12" s="260" customFormat="1" ht="14.25" hidden="1" customHeight="1">
      <c r="A405" s="259"/>
      <c r="B405" s="166"/>
      <c r="C405" s="166"/>
      <c r="D405" s="166"/>
      <c r="E405" s="166"/>
      <c r="H405" s="166"/>
    </row>
    <row r="406" spans="1:12" s="260" customFormat="1" ht="14.25" hidden="1" customHeight="1">
      <c r="A406" s="238"/>
      <c r="B406" s="157"/>
      <c r="C406" s="154" t="s">
        <v>173</v>
      </c>
      <c r="D406" s="10" t="e">
        <f>ROUND(C404*E404+G404*(I404/K404),1)</f>
        <v>#DIV/0!</v>
      </c>
      <c r="E406" s="166" t="s">
        <v>156</v>
      </c>
      <c r="H406" s="166"/>
    </row>
    <row r="407" spans="1:12" ht="14.25" hidden="1" customHeight="1">
      <c r="A407" s="238"/>
      <c r="B407" s="157"/>
      <c r="C407" s="154"/>
      <c r="D407" s="154"/>
      <c r="E407" s="154"/>
      <c r="F407" s="155"/>
      <c r="G407" s="155"/>
      <c r="H407" s="157"/>
    </row>
    <row r="408" spans="1:12" ht="14.25" hidden="1" customHeight="1">
      <c r="A408" s="238"/>
      <c r="B408" s="157"/>
      <c r="C408" s="154"/>
      <c r="D408" s="154"/>
      <c r="E408" s="154"/>
      <c r="F408" s="155"/>
      <c r="G408" s="155"/>
      <c r="H408" s="157"/>
    </row>
    <row r="409" spans="1:12" ht="14.25" customHeight="1">
      <c r="B409" s="143" t="s">
        <v>425</v>
      </c>
      <c r="C409" s="154"/>
      <c r="D409" s="157"/>
    </row>
    <row r="410" spans="1:12" ht="14.25" customHeight="1">
      <c r="B410" s="157"/>
      <c r="C410" s="154"/>
      <c r="D410" s="157"/>
    </row>
    <row r="411" spans="1:12" ht="14.25" customHeight="1">
      <c r="B411" s="157" t="s">
        <v>426</v>
      </c>
      <c r="C411" s="154"/>
      <c r="D411" s="119">
        <f>ROUNDUP('[1]基本 (1)'!D12/'[1]基本 (1)'!H14,0)</f>
        <v>1</v>
      </c>
      <c r="E411" s="157" t="s">
        <v>23</v>
      </c>
    </row>
    <row r="412" spans="1:12" ht="14.25" customHeight="1">
      <c r="B412" s="157"/>
      <c r="C412" s="154"/>
      <c r="D412" s="157"/>
    </row>
    <row r="413" spans="1:12" ht="14.25" customHeight="1">
      <c r="B413" s="157" t="s">
        <v>427</v>
      </c>
      <c r="C413" s="154"/>
      <c r="D413" s="157"/>
    </row>
    <row r="414" spans="1:12" ht="14.25" customHeight="1">
      <c r="B414" s="157"/>
      <c r="C414" s="154" t="s">
        <v>428</v>
      </c>
      <c r="D414" s="16">
        <v>1</v>
      </c>
      <c r="E414" s="157" t="s">
        <v>341</v>
      </c>
      <c r="F414" s="154" t="s">
        <v>404</v>
      </c>
      <c r="G414" s="212">
        <f>IF(D414&lt;=0.5,1.09,IF(D414&lt;=1,2.18,IF(D414&lt;=1.5,3.27,IF(D414&lt;=2,4.36,IF(D414&lt;=2.5,5.45,IF(D414&lt;=3,11.4,IF(D414&lt;=3.5,13.3,15.2)))))))</f>
        <v>2.1800000000000002</v>
      </c>
      <c r="H414" s="157" t="s">
        <v>423</v>
      </c>
      <c r="I414" s="157" t="s">
        <v>429</v>
      </c>
    </row>
    <row r="415" spans="1:12" ht="14.25" customHeight="1">
      <c r="B415" s="157"/>
      <c r="C415" s="154"/>
      <c r="D415" s="157"/>
    </row>
    <row r="416" spans="1:12" ht="14.25" customHeight="1">
      <c r="B416" s="157" t="s">
        <v>430</v>
      </c>
      <c r="C416" s="154"/>
      <c r="D416" s="157"/>
    </row>
    <row r="417" spans="2:15" ht="14.25" customHeight="1">
      <c r="B417" s="157"/>
      <c r="C417" s="241" t="s">
        <v>713</v>
      </c>
      <c r="D417" s="239">
        <f>G414</f>
        <v>2.1800000000000002</v>
      </c>
      <c r="E417" s="261" t="s">
        <v>431</v>
      </c>
      <c r="F417" s="154" t="s">
        <v>254</v>
      </c>
      <c r="G417" s="210">
        <f>'[1]基本 (1)'!D7+1</f>
        <v>4</v>
      </c>
      <c r="H417" s="157" t="s">
        <v>432</v>
      </c>
      <c r="I417" s="154" t="s">
        <v>254</v>
      </c>
      <c r="J417" s="165">
        <f>D411</f>
        <v>1</v>
      </c>
      <c r="K417" s="157" t="s">
        <v>23</v>
      </c>
      <c r="L417" s="155" t="s">
        <v>32</v>
      </c>
      <c r="M417" s="155">
        <v>1</v>
      </c>
      <c r="N417" s="141" t="s">
        <v>53</v>
      </c>
    </row>
    <row r="418" spans="2:15" ht="14.25" customHeight="1">
      <c r="B418" s="157"/>
      <c r="C418" s="154"/>
      <c r="D418" s="157"/>
    </row>
    <row r="419" spans="2:15" ht="14.25" customHeight="1">
      <c r="B419" s="157"/>
      <c r="C419" s="154" t="s">
        <v>212</v>
      </c>
      <c r="D419" s="10">
        <f>D417*G417*J417*M417</f>
        <v>8.7200000000000006</v>
      </c>
      <c r="E419" s="157" t="s">
        <v>423</v>
      </c>
      <c r="F419" s="155" t="s">
        <v>393</v>
      </c>
      <c r="G419" s="218" t="s">
        <v>394</v>
      </c>
      <c r="H419" s="218"/>
      <c r="I419" s="218"/>
      <c r="J419" s="218"/>
      <c r="K419" s="210">
        <f>ROUND(D419/('[1]基本 (1)'!D7+1)*2,2)</f>
        <v>4.3600000000000003</v>
      </c>
      <c r="L419" s="141" t="s">
        <v>433</v>
      </c>
    </row>
    <row r="420" spans="2:15" ht="14.25" customHeight="1">
      <c r="B420" s="157"/>
      <c r="C420" s="154"/>
      <c r="D420" s="12"/>
      <c r="E420" s="157"/>
      <c r="F420" s="155"/>
      <c r="G420" s="218" t="s">
        <v>396</v>
      </c>
      <c r="H420" s="218"/>
      <c r="I420" s="218"/>
      <c r="J420" s="218"/>
      <c r="K420" s="210">
        <f>ROUND(D419/('[1]基本 (1)'!D7+1)*('[1]基本 (1)'!D7-1),2)</f>
        <v>4.3600000000000003</v>
      </c>
      <c r="L420" s="141" t="s">
        <v>433</v>
      </c>
    </row>
    <row r="421" spans="2:15" ht="14.25" customHeight="1">
      <c r="B421" s="157"/>
      <c r="C421" s="166"/>
      <c r="D421" s="157"/>
    </row>
    <row r="422" spans="2:15" ht="14.25" customHeight="1">
      <c r="B422" s="157" t="s">
        <v>332</v>
      </c>
    </row>
    <row r="423" spans="2:15" ht="14.25" customHeight="1">
      <c r="C423" s="154" t="s">
        <v>714</v>
      </c>
      <c r="D423" s="157" t="s">
        <v>715</v>
      </c>
      <c r="H423" s="157" t="s">
        <v>434</v>
      </c>
    </row>
    <row r="424" spans="2:15" ht="14.25" customHeight="1"/>
    <row r="425" spans="2:15" ht="14.25" customHeight="1">
      <c r="C425" s="154" t="s">
        <v>212</v>
      </c>
      <c r="D425" s="156">
        <f>D419</f>
        <v>8.7200000000000006</v>
      </c>
      <c r="E425" s="154" t="s">
        <v>435</v>
      </c>
      <c r="F425" s="262">
        <v>0.36</v>
      </c>
      <c r="G425" s="154" t="s">
        <v>211</v>
      </c>
      <c r="H425" s="156">
        <f>K419</f>
        <v>4.3600000000000003</v>
      </c>
      <c r="I425" s="154" t="s">
        <v>436</v>
      </c>
      <c r="J425" s="262">
        <v>0.432</v>
      </c>
      <c r="K425" s="154" t="s">
        <v>32</v>
      </c>
      <c r="L425" s="156">
        <f>K420</f>
        <v>4.3600000000000003</v>
      </c>
      <c r="M425" s="155" t="s">
        <v>76</v>
      </c>
      <c r="N425" s="159">
        <v>3</v>
      </c>
      <c r="O425" s="263" t="s">
        <v>437</v>
      </c>
    </row>
    <row r="426" spans="2:15" ht="14.25" customHeight="1"/>
    <row r="427" spans="2:15" ht="14.25" customHeight="1">
      <c r="C427" s="154" t="s">
        <v>34</v>
      </c>
      <c r="D427" s="10">
        <f>D425/(F425*H425+J425*L425+N425)</f>
        <v>1.3512843399781811</v>
      </c>
      <c r="E427" s="157" t="s">
        <v>314</v>
      </c>
      <c r="F427" s="154"/>
      <c r="G427" s="158"/>
      <c r="H427" s="157"/>
      <c r="I427" s="154"/>
      <c r="J427" s="159"/>
      <c r="K427" s="157"/>
      <c r="L427" s="160"/>
    </row>
    <row r="428" spans="2:15" ht="14.25" customHeight="1"/>
    <row r="429" spans="2:15" ht="14.25" customHeight="1">
      <c r="B429" s="157" t="s">
        <v>334</v>
      </c>
      <c r="C429" s="166"/>
      <c r="D429" s="157"/>
    </row>
    <row r="430" spans="2:15" ht="14.25" customHeight="1">
      <c r="B430" s="157"/>
      <c r="C430" s="154" t="s">
        <v>438</v>
      </c>
      <c r="D430" s="157" t="s">
        <v>439</v>
      </c>
    </row>
    <row r="431" spans="2:15" ht="14.25" customHeight="1">
      <c r="B431" s="157"/>
      <c r="C431" s="166"/>
      <c r="D431" s="157"/>
    </row>
    <row r="432" spans="2:15" ht="14.25" customHeight="1">
      <c r="B432" s="157"/>
      <c r="C432" s="154" t="s">
        <v>34</v>
      </c>
      <c r="D432" s="10">
        <f>D419</f>
        <v>8.7200000000000006</v>
      </c>
      <c r="E432" s="154" t="s">
        <v>716</v>
      </c>
      <c r="F432" s="156">
        <f>D427</f>
        <v>1.3512843399781811</v>
      </c>
    </row>
    <row r="433" spans="1:19" ht="14.25" customHeight="1">
      <c r="B433" s="157"/>
      <c r="C433" s="166"/>
      <c r="D433" s="157"/>
    </row>
    <row r="434" spans="1:19" ht="14.25" customHeight="1" thickBot="1">
      <c r="B434" s="157"/>
      <c r="C434" s="154" t="s">
        <v>34</v>
      </c>
      <c r="D434" s="58">
        <f>ROUND(D432/F432,1)</f>
        <v>6.5</v>
      </c>
      <c r="E434" s="163" t="s">
        <v>156</v>
      </c>
    </row>
    <row r="435" spans="1:19" ht="14.25" customHeight="1">
      <c r="B435" s="157"/>
      <c r="C435" s="154"/>
      <c r="D435" s="47"/>
      <c r="E435" s="146"/>
    </row>
    <row r="436" spans="1:19" ht="14.25" customHeight="1">
      <c r="A436" s="238"/>
      <c r="B436" s="157" t="s">
        <v>424</v>
      </c>
      <c r="C436" s="154"/>
      <c r="D436" s="154"/>
      <c r="E436" s="154"/>
      <c r="F436" s="155"/>
      <c r="G436" s="155"/>
      <c r="H436" s="157"/>
    </row>
    <row r="437" spans="1:19" ht="14.25" customHeight="1">
      <c r="A437" s="238"/>
      <c r="B437" s="157"/>
      <c r="C437" s="264">
        <v>0.36</v>
      </c>
      <c r="D437" s="154" t="s">
        <v>177</v>
      </c>
      <c r="E437" s="265">
        <f>K419</f>
        <v>4.3600000000000003</v>
      </c>
      <c r="F437" s="154" t="s">
        <v>717</v>
      </c>
      <c r="G437" s="155">
        <v>3</v>
      </c>
      <c r="H437" s="154" t="s">
        <v>440</v>
      </c>
      <c r="I437" s="155">
        <v>2</v>
      </c>
      <c r="J437" s="154" t="s">
        <v>716</v>
      </c>
      <c r="K437" s="210">
        <f>'[1]基本 (1)'!D7+1</f>
        <v>4</v>
      </c>
      <c r="L437" s="157" t="s">
        <v>718</v>
      </c>
    </row>
    <row r="438" spans="1:19" s="260" customFormat="1" ht="14.25" customHeight="1">
      <c r="A438" s="259"/>
      <c r="B438" s="166"/>
      <c r="C438" s="166"/>
      <c r="D438" s="166"/>
      <c r="E438" s="166"/>
      <c r="H438" s="166"/>
    </row>
    <row r="439" spans="1:19" s="260" customFormat="1" ht="14.25" customHeight="1">
      <c r="A439" s="238"/>
      <c r="B439" s="157"/>
      <c r="C439" s="154" t="s">
        <v>687</v>
      </c>
      <c r="D439" s="10">
        <f>ROUND(C437*E437+G437*(I437/K437),1)</f>
        <v>3.1</v>
      </c>
      <c r="E439" s="166" t="s">
        <v>156</v>
      </c>
      <c r="H439" s="166"/>
    </row>
    <row r="440" spans="1:19" ht="14.25" customHeight="1">
      <c r="A440" s="238"/>
      <c r="B440" s="157"/>
      <c r="C440" s="154"/>
      <c r="D440" s="154"/>
      <c r="E440" s="154"/>
      <c r="F440" s="155"/>
      <c r="G440" s="155"/>
      <c r="H440" s="157"/>
    </row>
    <row r="441" spans="1:19" ht="14.25" customHeight="1">
      <c r="B441" s="157"/>
      <c r="C441" s="166"/>
      <c r="D441" s="157"/>
    </row>
    <row r="442" spans="1:19" ht="14.25" customHeight="1">
      <c r="B442" s="143" t="s">
        <v>441</v>
      </c>
      <c r="C442" s="166"/>
      <c r="D442" s="157"/>
    </row>
    <row r="443" spans="1:19" ht="14.25" customHeight="1">
      <c r="B443" s="157"/>
      <c r="C443" s="166"/>
      <c r="D443" s="157"/>
    </row>
    <row r="444" spans="1:19" ht="14.25" hidden="1" customHeight="1">
      <c r="B444" s="157" t="s">
        <v>442</v>
      </c>
      <c r="C444" s="166"/>
      <c r="D444" s="157"/>
    </row>
    <row r="445" spans="1:19" ht="14.25" hidden="1" customHeight="1">
      <c r="A445" s="238"/>
      <c r="C445" s="266" t="s">
        <v>412</v>
      </c>
      <c r="D445" s="266"/>
      <c r="E445" s="267" t="s">
        <v>414</v>
      </c>
      <c r="F445" s="267"/>
      <c r="G445" s="267" t="s">
        <v>443</v>
      </c>
      <c r="H445" s="267"/>
      <c r="I445" s="268" t="s">
        <v>444</v>
      </c>
      <c r="J445" s="268"/>
      <c r="K445" s="269"/>
      <c r="L445" s="270"/>
      <c r="M445" s="270"/>
      <c r="N445" s="270"/>
      <c r="O445" s="166"/>
      <c r="P445" s="270"/>
      <c r="Q445" s="270"/>
      <c r="R445" s="166"/>
      <c r="S445" s="166"/>
    </row>
    <row r="446" spans="1:19" ht="14.25" hidden="1" customHeight="1">
      <c r="A446" s="238"/>
      <c r="C446" s="266"/>
      <c r="D446" s="266"/>
      <c r="E446" s="267"/>
      <c r="F446" s="267"/>
      <c r="G446" s="267"/>
      <c r="H446" s="267"/>
      <c r="I446" s="268"/>
      <c r="J446" s="268"/>
      <c r="K446" s="269"/>
      <c r="L446" s="270"/>
      <c r="M446" s="270"/>
      <c r="N446" s="270"/>
      <c r="O446" s="166"/>
      <c r="P446" s="270"/>
      <c r="Q446" s="270"/>
      <c r="R446" s="166"/>
      <c r="S446" s="166"/>
    </row>
    <row r="447" spans="1:19" ht="14.25" hidden="1" customHeight="1">
      <c r="A447" s="238"/>
      <c r="C447" s="251" t="s">
        <v>456</v>
      </c>
      <c r="D447" s="251"/>
      <c r="E447" s="271">
        <f t="shared" ref="E447:E457" si="1">G382</f>
        <v>44.4</v>
      </c>
      <c r="F447" s="271"/>
      <c r="G447" s="253">
        <f t="shared" ref="G447:G457" si="2">$D$369</f>
        <v>3</v>
      </c>
      <c r="H447" s="254"/>
      <c r="I447" s="272">
        <f>IF($E447=0,0,HLOOKUP(IF(ROUNDUP($E447,-1)&gt;100,IF(ROUNDUP($E447,-1)&lt;=130,130,IF(ROUNDUP($E447,-1)&lt;=160,160,IF(ROUNDUP($E447,-1)&lt;=260,260,400))),ROUNDUP($E447,-1)),[1]保存シート!$W$3:$AK$18,IF(ROUNDUP($G447,0)&gt;30,16,IF(ROUNDUP($G447,0)&lt;6,2,IF(AND(ROUNDUP($G447,0)&gt;10,MOD(ROUNDUP($G447,0),2)&lt;&gt;0),(ROUNDUP($G447,0)+1)/2+1,(ROUNDUP($G447,0))/2+1))),FALSE))</f>
        <v>3360</v>
      </c>
      <c r="J447" s="273"/>
      <c r="K447" s="274"/>
      <c r="L447" s="274"/>
      <c r="M447" s="274"/>
      <c r="N447" s="274"/>
      <c r="O447" s="166"/>
      <c r="P447" s="153"/>
      <c r="Q447" s="153"/>
      <c r="R447" s="166"/>
      <c r="S447" s="166"/>
    </row>
    <row r="448" spans="1:19" ht="14.25" hidden="1" customHeight="1">
      <c r="A448" s="238"/>
      <c r="C448" s="251" t="s">
        <v>719</v>
      </c>
      <c r="D448" s="251"/>
      <c r="E448" s="271">
        <f t="shared" si="1"/>
        <v>168.6</v>
      </c>
      <c r="F448" s="271"/>
      <c r="G448" s="253">
        <f t="shared" si="2"/>
        <v>3</v>
      </c>
      <c r="H448" s="254"/>
      <c r="I448" s="272">
        <f>IF($E448=0,0,HLOOKUP(IF(ROUNDUP($E448,-1)&gt;100,IF(ROUNDUP($E448,-1)&lt;=130,130,IF(ROUNDUP($E448,-1)&lt;=160,160,IF(ROUNDUP($E448,-1)&lt;=260,260,400))),ROUNDUP($E448,-1)),[1]保存シート!$W$3:$AK$18,IF(ROUNDUP($G448,0)&gt;30,16,IF(ROUNDUP($G448,0)&lt;6,2,IF(AND(ROUNDUP($G448,0)&gt;10,MOD(ROUNDUP($G448,0),2)&lt;&gt;0),(ROUNDUP($G448,0)+1)/2+1,(ROUNDUP($G448,0))/2+1))),FALSE))</f>
        <v>49800</v>
      </c>
      <c r="J448" s="273"/>
      <c r="K448" s="274"/>
      <c r="L448" s="274"/>
      <c r="M448" s="274"/>
      <c r="N448" s="274"/>
      <c r="O448" s="166"/>
      <c r="P448" s="153"/>
      <c r="Q448" s="153"/>
      <c r="R448" s="166"/>
      <c r="S448" s="166"/>
    </row>
    <row r="449" spans="1:19" ht="14.25" hidden="1" customHeight="1">
      <c r="A449" s="238"/>
      <c r="C449" s="251" t="s">
        <v>720</v>
      </c>
      <c r="D449" s="251"/>
      <c r="E449" s="271">
        <f t="shared" si="1"/>
        <v>177.5</v>
      </c>
      <c r="F449" s="271"/>
      <c r="G449" s="253">
        <f t="shared" si="2"/>
        <v>3</v>
      </c>
      <c r="H449" s="254"/>
      <c r="I449" s="272">
        <f>IF($E449=0,0,HLOOKUP(IF(ROUNDUP($E449,-1)&gt;100,IF(ROUNDUP($E449,-1)&lt;=130,130,IF(ROUNDUP($E449,-1)&lt;=160,160,IF(ROUNDUP($E449,-1)&lt;=260,260,400))),ROUNDUP($E449,-1)),[1]保存シート!$W$3:$AK$18,IF(ROUNDUP($G449,0)&gt;30,16,IF(ROUNDUP($G449,0)&lt;6,2,IF(AND(ROUNDUP($G449,0)&gt;10,MOD(ROUNDUP($G449,0),2)&lt;&gt;0),(ROUNDUP($G449,0)+1)/2+1,(ROUNDUP($G449,0))/2+1))),FALSE))</f>
        <v>49800</v>
      </c>
      <c r="J449" s="273"/>
      <c r="K449" s="274"/>
      <c r="L449" s="274"/>
      <c r="M449" s="274"/>
      <c r="N449" s="274"/>
      <c r="O449" s="166"/>
      <c r="P449" s="153"/>
      <c r="Q449" s="153"/>
      <c r="R449" s="166"/>
      <c r="S449" s="166"/>
    </row>
    <row r="450" spans="1:19" ht="14.25" hidden="1" customHeight="1">
      <c r="A450" s="238"/>
      <c r="C450" s="251" t="s">
        <v>50</v>
      </c>
      <c r="D450" s="251"/>
      <c r="E450" s="271">
        <f t="shared" si="1"/>
        <v>53.3</v>
      </c>
      <c r="F450" s="271"/>
      <c r="G450" s="253">
        <f t="shared" si="2"/>
        <v>3</v>
      </c>
      <c r="H450" s="254"/>
      <c r="I450" s="272">
        <f>IF($E450=0,0,HLOOKUP(IF(ROUNDUP($E450,-1)&gt;100,IF(ROUNDUP($E450,-1)&lt;=130,130,IF(ROUNDUP($E450,-1)&lt;=160,160,IF(ROUNDUP($E450,-1)&lt;=260,260,400))),ROUNDUP($E450,-1)),[1]保存シート!$W$3:$AK$18,IF(ROUNDUP($G450,0)&gt;30,16,IF(ROUNDUP($G450,0)&lt;6,2,IF(AND(ROUNDUP($G450,0)&gt;10,MOD(ROUNDUP($G450,0),2)&lt;&gt;0),(ROUNDUP($G450,0)+1)/2+1,(ROUNDUP($G450,0))/2+1))),FALSE))</f>
        <v>19400</v>
      </c>
      <c r="J450" s="273"/>
      <c r="K450" s="274"/>
      <c r="L450" s="274"/>
      <c r="M450" s="274"/>
      <c r="N450" s="274"/>
      <c r="O450" s="166"/>
      <c r="P450" s="153"/>
      <c r="Q450" s="153"/>
      <c r="R450" s="166"/>
      <c r="S450" s="166"/>
    </row>
    <row r="451" spans="1:19" ht="14.25" hidden="1" customHeight="1">
      <c r="A451" s="238"/>
      <c r="C451" s="251" t="s">
        <v>448</v>
      </c>
      <c r="D451" s="251"/>
      <c r="E451" s="271">
        <f t="shared" si="1"/>
        <v>0</v>
      </c>
      <c r="F451" s="271"/>
      <c r="G451" s="253">
        <f t="shared" si="2"/>
        <v>3</v>
      </c>
      <c r="H451" s="254"/>
      <c r="I451" s="272">
        <f>IF($E451=0,0,HLOOKUP(IF(ROUNDUP($E451,-1)&gt;100,IF(ROUNDUP($E451,-1)&lt;=130,130,IF(ROUNDUP($E451,-1)&lt;=160,160,IF(ROUNDUP($E451,-1)&lt;=260,260,400))),ROUNDUP($E451,-1)),[1]保存シート!$W$3:$AK$18,IF(ROUNDUP($G451,0)&gt;30,16,IF(ROUNDUP($G451,0)&lt;6,2,IF(AND(ROUNDUP($G451,0)&gt;10,MOD(ROUNDUP($G451,0),2)&lt;&gt;0),(ROUNDUP($G451,0)+1)/2+1,(ROUNDUP($G451,0))/2+1))),FALSE))</f>
        <v>0</v>
      </c>
      <c r="J451" s="273"/>
      <c r="K451" s="274"/>
      <c r="L451" s="274"/>
      <c r="M451" s="274"/>
      <c r="N451" s="274"/>
      <c r="O451" s="166"/>
      <c r="P451" s="153"/>
      <c r="Q451" s="153"/>
      <c r="R451" s="166"/>
      <c r="S451" s="166"/>
    </row>
    <row r="452" spans="1:19" ht="14.25" hidden="1" customHeight="1">
      <c r="A452" s="238"/>
      <c r="C452" s="251" t="s">
        <v>721</v>
      </c>
      <c r="D452" s="251"/>
      <c r="E452" s="271">
        <f t="shared" si="1"/>
        <v>0</v>
      </c>
      <c r="F452" s="271"/>
      <c r="G452" s="253">
        <f t="shared" si="2"/>
        <v>3</v>
      </c>
      <c r="H452" s="254"/>
      <c r="I452" s="272">
        <f>IF($E452=0,0,HLOOKUP(IF(ROUNDUP($E452,-1)&gt;100,IF(ROUNDUP($E452,-1)&lt;=130,130,IF(ROUNDUP($E452,-1)&lt;=160,160,IF(ROUNDUP($E452,-1)&lt;=260,260,400))),ROUNDUP($E452,-1)),[1]保存シート!$W$3:$AK$18,IF(ROUNDUP($G452,0)&gt;30,16,IF(ROUNDUP($G452,0)&lt;6,2,IF(AND(ROUNDUP($G452,0)&gt;10,MOD(ROUNDUP($G452,0),2)&lt;&gt;0),(ROUNDUP($G452,0)+1)/2+1,(ROUNDUP($G452,0))/2+1))),FALSE))</f>
        <v>0</v>
      </c>
      <c r="J452" s="273"/>
      <c r="K452" s="274"/>
      <c r="L452" s="274"/>
      <c r="M452" s="274"/>
      <c r="N452" s="274"/>
      <c r="O452" s="166"/>
      <c r="P452" s="153"/>
      <c r="Q452" s="153"/>
      <c r="R452" s="166"/>
      <c r="S452" s="166"/>
    </row>
    <row r="453" spans="1:19" ht="14.25" hidden="1" customHeight="1">
      <c r="A453" s="238"/>
      <c r="C453" s="251" t="s">
        <v>458</v>
      </c>
      <c r="D453" s="251"/>
      <c r="E453" s="271">
        <f t="shared" si="1"/>
        <v>0</v>
      </c>
      <c r="F453" s="271"/>
      <c r="G453" s="253">
        <f t="shared" si="2"/>
        <v>3</v>
      </c>
      <c r="H453" s="254"/>
      <c r="I453" s="272">
        <f>IF($E453=0,0,HLOOKUP(IF(ROUNDUP($E453,-1)&gt;100,IF(ROUNDUP($E453,-1)&lt;=130,130,IF(ROUNDUP($E453,-1)&lt;=160,160,IF(ROUNDUP($E453,-1)&lt;=260,260,400))),ROUNDUP($E453,-1)),[1]保存シート!$W$3:$AK$18,IF(ROUNDUP($G453,0)&gt;30,16,IF(ROUNDUP($G453,0)&lt;6,2,IF(AND(ROUNDUP($G453,0)&gt;10,MOD(ROUNDUP($G453,0),2)&lt;&gt;0),(ROUNDUP($G453,0)+1)/2+1,(ROUNDUP($G453,0))/2+1))),FALSE))</f>
        <v>0</v>
      </c>
      <c r="J453" s="273"/>
      <c r="K453" s="274"/>
      <c r="L453" s="274"/>
      <c r="M453" s="274"/>
      <c r="N453" s="274"/>
      <c r="O453" s="166"/>
      <c r="P453" s="153"/>
      <c r="Q453" s="153"/>
      <c r="R453" s="166"/>
      <c r="S453" s="166"/>
    </row>
    <row r="454" spans="1:19" ht="14.25" hidden="1" customHeight="1">
      <c r="A454" s="238"/>
      <c r="C454" s="251" t="s">
        <v>450</v>
      </c>
      <c r="D454" s="251"/>
      <c r="E454" s="271">
        <f t="shared" si="1"/>
        <v>0</v>
      </c>
      <c r="F454" s="271"/>
      <c r="G454" s="253">
        <f t="shared" si="2"/>
        <v>3</v>
      </c>
      <c r="H454" s="254"/>
      <c r="I454" s="272">
        <f>IF($E454=0,0,HLOOKUP(IF(ROUNDUP($E454,-1)&gt;100,IF(ROUNDUP($E454,-1)&lt;=130,130,IF(ROUNDUP($E454,-1)&lt;=160,160,IF(ROUNDUP($E454,-1)&lt;=260,260,400))),ROUNDUP($E454,-1)),[1]保存シート!$W$3:$AK$18,IF(ROUNDUP($G454,0)&gt;30,16,IF(ROUNDUP($G454,0)&lt;6,2,IF(AND(ROUNDUP($G454,0)&gt;10,MOD(ROUNDUP($G454,0),2)&lt;&gt;0),(ROUNDUP($G454,0)+1)/2+1,(ROUNDUP($G454,0))/2+1))),FALSE))</f>
        <v>0</v>
      </c>
      <c r="J454" s="273"/>
      <c r="K454" s="274"/>
      <c r="L454" s="274"/>
      <c r="M454" s="274"/>
      <c r="N454" s="274"/>
      <c r="O454" s="166"/>
      <c r="P454" s="153"/>
      <c r="Q454" s="153"/>
      <c r="R454" s="166"/>
      <c r="S454" s="166"/>
    </row>
    <row r="455" spans="1:19" ht="14.25" hidden="1" customHeight="1">
      <c r="A455" s="238"/>
      <c r="C455" s="251" t="s">
        <v>451</v>
      </c>
      <c r="D455" s="251"/>
      <c r="E455" s="271">
        <f t="shared" si="1"/>
        <v>0</v>
      </c>
      <c r="F455" s="271"/>
      <c r="G455" s="253">
        <f t="shared" si="2"/>
        <v>3</v>
      </c>
      <c r="H455" s="254"/>
      <c r="I455" s="272">
        <f>IF($E455=0,0,HLOOKUP(IF(ROUNDUP($E455,-1)&gt;100,IF(ROUNDUP($E455,-1)&lt;=130,130,IF(ROUNDUP($E455,-1)&lt;=160,160,IF(ROUNDUP($E455,-1)&lt;=260,260,400))),ROUNDUP($E455,-1)),[1]保存シート!$W$3:$AK$18,IF(ROUNDUP($G455,0)&gt;30,16,IF(ROUNDUP($G455,0)&lt;6,2,IF(AND(ROUNDUP($G455,0)&gt;10,MOD(ROUNDUP($G455,0),2)&lt;&gt;0),(ROUNDUP($G455,0)+1)/2+1,(ROUNDUP($G455,0))/2+1))),FALSE))</f>
        <v>0</v>
      </c>
      <c r="J455" s="273"/>
      <c r="K455" s="274"/>
      <c r="L455" s="274"/>
      <c r="M455" s="274"/>
      <c r="N455" s="274"/>
      <c r="O455" s="166"/>
      <c r="P455" s="153"/>
      <c r="Q455" s="153"/>
      <c r="R455" s="166"/>
      <c r="S455" s="166"/>
    </row>
    <row r="456" spans="1:19" ht="14.25" hidden="1" customHeight="1">
      <c r="A456" s="238"/>
      <c r="C456" s="251" t="s">
        <v>452</v>
      </c>
      <c r="D456" s="251"/>
      <c r="E456" s="271">
        <f t="shared" si="1"/>
        <v>0</v>
      </c>
      <c r="F456" s="271"/>
      <c r="G456" s="253">
        <f t="shared" si="2"/>
        <v>3</v>
      </c>
      <c r="H456" s="254"/>
      <c r="I456" s="272">
        <f>IF($E456=0,0,HLOOKUP(IF(ROUNDUP($E456,-1)&gt;100,IF(ROUNDUP($E456,-1)&lt;=130,130,IF(ROUNDUP($E456,-1)&lt;=160,160,IF(ROUNDUP($E456,-1)&lt;=260,260,400))),ROUNDUP($E456,-1)),[1]保存シート!$W$3:$AK$18,IF(ROUNDUP($G456,0)&gt;30,16,IF(ROUNDUP($G456,0)&lt;6,2,IF(AND(ROUNDUP($G456,0)&gt;10,MOD(ROUNDUP($G456,0),2)&lt;&gt;0),(ROUNDUP($G456,0)+1)/2+1,(ROUNDUP($G456,0))/2+1))),FALSE))</f>
        <v>0</v>
      </c>
      <c r="J456" s="273"/>
      <c r="K456" s="274"/>
      <c r="L456" s="274"/>
      <c r="M456" s="274"/>
      <c r="N456" s="274"/>
      <c r="O456" s="166"/>
      <c r="P456" s="153"/>
      <c r="Q456" s="153"/>
      <c r="R456" s="166"/>
      <c r="S456" s="166"/>
    </row>
    <row r="457" spans="1:19" ht="14.25" hidden="1" customHeight="1">
      <c r="A457" s="238"/>
      <c r="C457" s="275" t="s">
        <v>722</v>
      </c>
      <c r="D457" s="276"/>
      <c r="E457" s="277">
        <f t="shared" si="1"/>
        <v>0</v>
      </c>
      <c r="F457" s="277"/>
      <c r="G457" s="278">
        <f t="shared" si="2"/>
        <v>3</v>
      </c>
      <c r="H457" s="279"/>
      <c r="I457" s="280">
        <f>IF($E457=0,0,HLOOKUP(IF(ROUNDUP($E457,-1)&gt;100,IF(ROUNDUP($E457,-1)&lt;=130,130,IF(ROUNDUP($E457,-1)&lt;=160,160,IF(ROUNDUP($E457,-1)&lt;=260,260,400))),ROUNDUP($E457,-1)),[1]保存シート!$W$3:$AK$18,IF(ROUNDUP($G457,0)&gt;30,16,IF(ROUNDUP($G457,0)&lt;6,2,IF(AND(ROUNDUP($G457,0)&gt;10,MOD(ROUNDUP($G457,0),2)&lt;&gt;0),(ROUNDUP($G457,0)+1)/2+1,(ROUNDUP($G457,0))/2+1))),FALSE))</f>
        <v>0</v>
      </c>
      <c r="J457" s="281"/>
      <c r="K457" s="274"/>
      <c r="L457" s="274"/>
      <c r="M457" s="274"/>
      <c r="N457" s="274"/>
      <c r="O457" s="166"/>
      <c r="P457" s="153"/>
      <c r="Q457" s="153"/>
      <c r="R457" s="166"/>
      <c r="S457" s="166"/>
    </row>
    <row r="458" spans="1:19" ht="14.25" hidden="1" customHeight="1">
      <c r="C458" s="282" t="s">
        <v>210</v>
      </c>
      <c r="D458" s="282"/>
      <c r="E458" s="283"/>
      <c r="F458" s="284"/>
      <c r="G458" s="284"/>
      <c r="H458" s="285"/>
      <c r="I458" s="286">
        <f>SUM(I447:J457)</f>
        <v>122360</v>
      </c>
      <c r="J458" s="287"/>
      <c r="K458" s="274"/>
      <c r="L458" s="274"/>
      <c r="M458" s="274"/>
      <c r="N458" s="274"/>
      <c r="O458" s="166"/>
      <c r="P458" s="166"/>
      <c r="Q458" s="166"/>
      <c r="R458" s="166"/>
      <c r="S458" s="166"/>
    </row>
    <row r="459" spans="1:19" ht="14.25" hidden="1" customHeight="1">
      <c r="B459" s="157"/>
      <c r="C459" s="166"/>
      <c r="D459" s="157"/>
    </row>
    <row r="460" spans="1:19" ht="14.25" customHeight="1">
      <c r="B460" s="157" t="s">
        <v>453</v>
      </c>
      <c r="C460" s="166"/>
      <c r="D460" s="157"/>
    </row>
    <row r="461" spans="1:19" ht="14.25" customHeight="1">
      <c r="A461" s="238"/>
      <c r="C461" s="266" t="s">
        <v>412</v>
      </c>
      <c r="D461" s="266"/>
      <c r="E461" s="267" t="s">
        <v>414</v>
      </c>
      <c r="F461" s="267"/>
      <c r="G461" s="267" t="s">
        <v>454</v>
      </c>
      <c r="H461" s="267"/>
      <c r="I461" s="268" t="s">
        <v>455</v>
      </c>
      <c r="J461" s="268"/>
      <c r="K461" s="269"/>
      <c r="L461" s="270"/>
      <c r="M461" s="247"/>
      <c r="N461" s="247"/>
      <c r="P461" s="248"/>
      <c r="Q461" s="248"/>
    </row>
    <row r="462" spans="1:19" ht="14.25" customHeight="1">
      <c r="A462" s="238"/>
      <c r="C462" s="266"/>
      <c r="D462" s="266"/>
      <c r="E462" s="267"/>
      <c r="F462" s="267"/>
      <c r="G462" s="267"/>
      <c r="H462" s="267"/>
      <c r="I462" s="268"/>
      <c r="J462" s="268"/>
      <c r="K462" s="269"/>
      <c r="L462" s="270"/>
      <c r="M462" s="247"/>
      <c r="N462" s="247"/>
      <c r="P462" s="248"/>
      <c r="Q462" s="248"/>
    </row>
    <row r="463" spans="1:19" ht="14.25" customHeight="1">
      <c r="A463" s="238"/>
      <c r="C463" s="251" t="s">
        <v>445</v>
      </c>
      <c r="D463" s="251"/>
      <c r="E463" s="271">
        <f t="shared" ref="E463:E473" si="3">G382</f>
        <v>44.4</v>
      </c>
      <c r="F463" s="271"/>
      <c r="G463" s="288">
        <f t="shared" ref="G463:G473" si="4">$D$414</f>
        <v>1</v>
      </c>
      <c r="H463" s="289"/>
      <c r="I463" s="272">
        <f>IF($E463=0,0,HLOOKUP(IF(ROUNDUP($E463,-1)&gt;100,IF(ROUNDUP($E463,-1)&lt;=150,150,IF(ROUNDUP($E463,-1)&lt;=200,200,IF(ROUNDUP($E463,-1)&lt;=300,300,400))),ROUNDUP($E463,-1)),[1]保存シート!$W$21:$AK$29,IF(CEILING($G463,0.5)&gt;4,9,IF(CEILING($G463,0.5)&lt;0.5,2,CEILING($G463,0.5)/0.5+1)),FALSE))+377*D411*G414</f>
        <v>7171.86</v>
      </c>
      <c r="J463" s="273"/>
      <c r="K463" s="274"/>
      <c r="L463" s="274"/>
      <c r="M463" s="290"/>
      <c r="N463" s="290"/>
      <c r="P463" s="47"/>
      <c r="Q463" s="47"/>
    </row>
    <row r="464" spans="1:19" ht="14.25" customHeight="1">
      <c r="A464" s="238"/>
      <c r="C464" s="251" t="s">
        <v>415</v>
      </c>
      <c r="D464" s="251"/>
      <c r="E464" s="271">
        <f t="shared" si="3"/>
        <v>168.6</v>
      </c>
      <c r="F464" s="271"/>
      <c r="G464" s="288">
        <f t="shared" si="4"/>
        <v>1</v>
      </c>
      <c r="H464" s="289"/>
      <c r="I464" s="272">
        <f>IF($E464=0,0,HLOOKUP(IF(ROUNDUP($E464,-1)&gt;100,IF(ROUNDUP($E464,-1)&lt;=150,150,IF(ROUNDUP($E464,-1)&lt;=200,200,IF(ROUNDUP($E464,-1)&lt;=300,300,400))),ROUNDUP($E464,-1)),[1]保存シート!$W$21:$AK$29,IF(CEILING($G464,0.5)&gt;4,9,IF(CEILING($G464,0.5)&lt;0.5,2,CEILING($G464,0.5)/0.5+1)),FALSE))+377*D411*G414</f>
        <v>12121.86</v>
      </c>
      <c r="J464" s="273"/>
      <c r="K464" s="274"/>
      <c r="L464" s="274"/>
      <c r="M464" s="290"/>
      <c r="N464" s="290"/>
      <c r="P464" s="47"/>
      <c r="Q464" s="47"/>
    </row>
    <row r="465" spans="1:17" ht="14.25" customHeight="1">
      <c r="A465" s="238"/>
      <c r="C465" s="251" t="s">
        <v>720</v>
      </c>
      <c r="D465" s="251"/>
      <c r="E465" s="271">
        <f t="shared" si="3"/>
        <v>177.5</v>
      </c>
      <c r="F465" s="271"/>
      <c r="G465" s="288">
        <f t="shared" si="4"/>
        <v>1</v>
      </c>
      <c r="H465" s="289"/>
      <c r="I465" s="272">
        <f>IF($E465=0,0,HLOOKUP(IF(ROUNDUP($E465,-1)&gt;100,IF(ROUNDUP($E465,-1)&lt;=150,150,IF(ROUNDUP($E465,-1)&lt;=200,200,IF(ROUNDUP($E465,-1)&lt;=300,300,400))),ROUNDUP($E465,-1)),[1]保存シート!$W$21:$AK$29,IF(CEILING($G465,0.5)&gt;4,9,IF(CEILING($G465,0.5)&lt;0.5,2,CEILING($G465,0.5)/0.5+1)),FALSE))+377*D411*G414</f>
        <v>12121.86</v>
      </c>
      <c r="J465" s="273"/>
      <c r="K465" s="274"/>
      <c r="L465" s="274"/>
      <c r="M465" s="290"/>
      <c r="N465" s="290"/>
      <c r="P465" s="47"/>
      <c r="Q465" s="47"/>
    </row>
    <row r="466" spans="1:17" ht="14.25" customHeight="1" thickBot="1">
      <c r="A466" s="238"/>
      <c r="C466" s="251" t="s">
        <v>447</v>
      </c>
      <c r="D466" s="251"/>
      <c r="E466" s="271">
        <f t="shared" si="3"/>
        <v>53.3</v>
      </c>
      <c r="F466" s="271"/>
      <c r="G466" s="288">
        <f t="shared" si="4"/>
        <v>1</v>
      </c>
      <c r="H466" s="289"/>
      <c r="I466" s="272">
        <f>IF($E466=0,0,HLOOKUP(IF(ROUNDUP($E466,-1)&gt;100,IF(ROUNDUP($E466,-1)&lt;=150,150,IF(ROUNDUP($E466,-1)&lt;=200,200,IF(ROUNDUP($E466,-1)&lt;=300,300,400))),ROUNDUP($E466,-1)),[1]保存シート!$W$21:$AK$29,IF(CEILING($G466,0.5)&gt;4,9,IF(CEILING($G466,0.5)&lt;0.5,2,CEILING($G466,0.5)/0.5+1)),FALSE))+377*D411*G414</f>
        <v>7681.86</v>
      </c>
      <c r="J466" s="273"/>
      <c r="K466" s="274"/>
      <c r="L466" s="274"/>
      <c r="M466" s="290"/>
      <c r="N466" s="290"/>
      <c r="P466" s="47"/>
      <c r="Q466" s="47"/>
    </row>
    <row r="467" spans="1:17" ht="14.25" hidden="1" customHeight="1">
      <c r="A467" s="238"/>
      <c r="C467" s="251" t="s">
        <v>723</v>
      </c>
      <c r="D467" s="251"/>
      <c r="E467" s="271">
        <f t="shared" si="3"/>
        <v>0</v>
      </c>
      <c r="F467" s="271"/>
      <c r="G467" s="288">
        <f t="shared" si="4"/>
        <v>1</v>
      </c>
      <c r="H467" s="289"/>
      <c r="I467" s="272">
        <f>IF($E467=0,0,HLOOKUP(IF(ROUNDUP($E467,-1)&gt;100,IF(ROUNDUP($E467,-1)&lt;=150,150,IF(ROUNDUP($E467,-1)&lt;=200,200,IF(ROUNDUP($E467,-1)&lt;=300,300,400))),ROUNDUP($E467,-1)),[1]保存シート!$W$21:$AK$29,IF(CEILING($G467,0.5)&gt;4,9,IF(CEILING($G467,0.5)&lt;0.5,2,CEILING($G467,0.5)/0.5+1)),FALSE))+377*D411*G414</f>
        <v>821.86</v>
      </c>
      <c r="J467" s="273"/>
      <c r="K467" s="274"/>
      <c r="L467" s="274"/>
      <c r="M467" s="290"/>
      <c r="N467" s="290"/>
      <c r="P467" s="47"/>
      <c r="Q467" s="47"/>
    </row>
    <row r="468" spans="1:17" ht="14.25" hidden="1" customHeight="1">
      <c r="A468" s="238"/>
      <c r="C468" s="251" t="s">
        <v>449</v>
      </c>
      <c r="D468" s="251"/>
      <c r="E468" s="271">
        <f t="shared" si="3"/>
        <v>0</v>
      </c>
      <c r="F468" s="271"/>
      <c r="G468" s="288">
        <f t="shared" si="4"/>
        <v>1</v>
      </c>
      <c r="H468" s="289"/>
      <c r="I468" s="272">
        <f>IF($E468=0,0,HLOOKUP(IF(ROUNDUP($E468,-1)&gt;100,IF(ROUNDUP($E468,-1)&lt;=150,150,IF(ROUNDUP($E468,-1)&lt;=200,200,IF(ROUNDUP($E468,-1)&lt;=300,300,400))),ROUNDUP($E468,-1)),[1]保存シート!$W$21:$AK$29,IF(CEILING($G468,0.5)&gt;4,9,IF(CEILING($G468,0.5)&lt;0.5,2,CEILING($G468,0.5)/0.5+1)),FALSE))+377*D411*G414</f>
        <v>821.86</v>
      </c>
      <c r="J468" s="273"/>
      <c r="K468" s="274"/>
      <c r="L468" s="290"/>
      <c r="M468" s="290"/>
      <c r="N468" s="290"/>
      <c r="P468" s="47"/>
      <c r="Q468" s="47"/>
    </row>
    <row r="469" spans="1:17" ht="14.25" hidden="1" customHeight="1">
      <c r="A469" s="238"/>
      <c r="C469" s="251" t="s">
        <v>724</v>
      </c>
      <c r="D469" s="251"/>
      <c r="E469" s="271">
        <f t="shared" si="3"/>
        <v>0</v>
      </c>
      <c r="F469" s="271"/>
      <c r="G469" s="288">
        <f t="shared" si="4"/>
        <v>1</v>
      </c>
      <c r="H469" s="289"/>
      <c r="I469" s="272">
        <f>IF($E469=0,0,HLOOKUP(IF(ROUNDUP($E469,-1)&gt;100,IF(ROUNDUP($E469,-1)&lt;=150,150,IF(ROUNDUP($E469,-1)&lt;=200,200,IF(ROUNDUP($E469,-1)&lt;=300,300,400))),ROUNDUP($E469,-1)),[1]保存シート!$W$21:$AK$29,IF(CEILING($G469,0.5)&gt;4,9,IF(CEILING($G469,0.5)&lt;0.5,2,CEILING($G469,0.5)/0.5+1)),FALSE))+377*D411*G414</f>
        <v>821.86</v>
      </c>
      <c r="J469" s="273"/>
      <c r="K469" s="274"/>
      <c r="L469" s="290"/>
      <c r="M469" s="290"/>
      <c r="N469" s="290"/>
      <c r="P469" s="47"/>
      <c r="Q469" s="47"/>
    </row>
    <row r="470" spans="1:17" ht="14.25" hidden="1" customHeight="1">
      <c r="A470" s="238"/>
      <c r="C470" s="251" t="s">
        <v>459</v>
      </c>
      <c r="D470" s="251"/>
      <c r="E470" s="271">
        <f t="shared" si="3"/>
        <v>0</v>
      </c>
      <c r="F470" s="271"/>
      <c r="G470" s="288">
        <f t="shared" si="4"/>
        <v>1</v>
      </c>
      <c r="H470" s="289"/>
      <c r="I470" s="272">
        <f>IF($E470=0,0,HLOOKUP(IF(ROUNDUP($E470,-1)&gt;100,IF(ROUNDUP($E470,-1)&lt;=150,150,IF(ROUNDUP($E470,-1)&lt;=200,200,IF(ROUNDUP($E470,-1)&lt;=300,300,400))),ROUNDUP($E470,-1)),[1]保存シート!$W$21:$AK$29,IF(CEILING($G470,0.5)&gt;4,9,IF(CEILING($G470,0.5)&lt;0.5,2,CEILING($G470,0.5)/0.5+1)),FALSE))+377*D411*G414</f>
        <v>821.86</v>
      </c>
      <c r="J470" s="273"/>
      <c r="K470" s="274"/>
      <c r="L470" s="290"/>
      <c r="M470" s="290"/>
      <c r="N470" s="290"/>
      <c r="P470" s="47"/>
      <c r="Q470" s="47"/>
    </row>
    <row r="471" spans="1:17" ht="14.25" hidden="1" customHeight="1">
      <c r="A471" s="238"/>
      <c r="C471" s="251" t="s">
        <v>451</v>
      </c>
      <c r="D471" s="251"/>
      <c r="E471" s="271">
        <f t="shared" si="3"/>
        <v>0</v>
      </c>
      <c r="F471" s="271"/>
      <c r="G471" s="288">
        <f t="shared" si="4"/>
        <v>1</v>
      </c>
      <c r="H471" s="289"/>
      <c r="I471" s="272">
        <f>IF($E471=0,0,HLOOKUP(IF(ROUNDUP($E471,-1)&gt;100,IF(ROUNDUP($E471,-1)&lt;=150,150,IF(ROUNDUP($E471,-1)&lt;=200,200,IF(ROUNDUP($E471,-1)&lt;=300,300,400))),ROUNDUP($E471,-1)),[1]保存シート!$W$21:$AK$29,IF(CEILING($G471,0.5)&gt;4,9,IF(CEILING($G471,0.5)&lt;0.5,2,CEILING($G471,0.5)/0.5+1)),FALSE))+377*D411*G414</f>
        <v>821.86</v>
      </c>
      <c r="J471" s="273"/>
      <c r="K471" s="274"/>
      <c r="L471" s="290"/>
      <c r="M471" s="290"/>
      <c r="N471" s="290"/>
      <c r="P471" s="47"/>
      <c r="Q471" s="47"/>
    </row>
    <row r="472" spans="1:17" ht="14.25" hidden="1" customHeight="1">
      <c r="A472" s="238"/>
      <c r="C472" s="251" t="s">
        <v>452</v>
      </c>
      <c r="D472" s="251"/>
      <c r="E472" s="271">
        <f t="shared" si="3"/>
        <v>0</v>
      </c>
      <c r="F472" s="271"/>
      <c r="G472" s="288">
        <f t="shared" si="4"/>
        <v>1</v>
      </c>
      <c r="H472" s="289"/>
      <c r="I472" s="272">
        <f>IF($E472=0,0,HLOOKUP(IF(ROUNDUP($E472,-1)&gt;100,IF(ROUNDUP($E472,-1)&lt;=150,150,IF(ROUNDUP($E472,-1)&lt;=200,200,IF(ROUNDUP($E472,-1)&lt;=300,300,400))),ROUNDUP($E472,-1)),[1]保存シート!$W$21:$AK$29,IF(CEILING($G472,0.5)&gt;4,9,IF(CEILING($G472,0.5)&lt;0.5,2,CEILING($G472,0.5)/0.5+1)),FALSE))+377*D411*G414</f>
        <v>821.86</v>
      </c>
      <c r="J472" s="273"/>
      <c r="K472" s="274"/>
      <c r="L472" s="290"/>
      <c r="M472" s="290"/>
      <c r="N472" s="290"/>
      <c r="P472" s="47"/>
      <c r="Q472" s="47"/>
    </row>
    <row r="473" spans="1:17" ht="14.25" hidden="1" customHeight="1">
      <c r="A473" s="238"/>
      <c r="C473" s="275" t="s">
        <v>725</v>
      </c>
      <c r="D473" s="276"/>
      <c r="E473" s="277">
        <f t="shared" si="3"/>
        <v>0</v>
      </c>
      <c r="F473" s="277"/>
      <c r="G473" s="291">
        <f t="shared" si="4"/>
        <v>1</v>
      </c>
      <c r="H473" s="292"/>
      <c r="I473" s="280">
        <f>IF($E473=0,0,HLOOKUP(IF(ROUNDUP($E473,-1)&gt;100,IF(ROUNDUP($E473,-1)&lt;=150,150,IF(ROUNDUP($E473,-1)&lt;=200,200,IF(ROUNDUP($E473,-1)&lt;=300,300,400))),ROUNDUP($E473,-1)),[1]保存シート!$W$21:$AK$29,IF(CEILING($G473,0.5)&gt;4,9,IF(CEILING($G473,0.5)&lt;0.5,2,CEILING($G473,0.5)/0.5+1)),FALSE))+377*D411*G414</f>
        <v>821.86</v>
      </c>
      <c r="J473" s="281"/>
      <c r="K473" s="274"/>
      <c r="L473" s="290"/>
      <c r="M473" s="290"/>
      <c r="N473" s="290"/>
      <c r="P473" s="47"/>
      <c r="Q473" s="47"/>
    </row>
    <row r="474" spans="1:17" ht="14.25" customHeight="1">
      <c r="C474" s="282" t="s">
        <v>210</v>
      </c>
      <c r="D474" s="282"/>
      <c r="E474" s="283"/>
      <c r="F474" s="284"/>
      <c r="G474" s="284"/>
      <c r="H474" s="285"/>
      <c r="I474" s="286">
        <f>SUM(I463:J473)</f>
        <v>44850.460000000006</v>
      </c>
      <c r="J474" s="287"/>
      <c r="K474" s="274"/>
      <c r="L474" s="290"/>
      <c r="M474" s="290"/>
      <c r="N474" s="290"/>
    </row>
    <row r="475" spans="1:17" ht="14.25" customHeight="1">
      <c r="C475" s="167"/>
      <c r="D475" s="157"/>
      <c r="E475" s="157"/>
    </row>
    <row r="476" spans="1:17" ht="14.25" customHeight="1">
      <c r="C476" s="157"/>
      <c r="E476" s="157"/>
    </row>
    <row r="477" spans="1:17" ht="14.25" customHeight="1">
      <c r="B477" s="157"/>
      <c r="C477" s="166"/>
      <c r="D477" s="157"/>
    </row>
    <row r="478" spans="1:17" ht="14.25" customHeight="1">
      <c r="B478" s="157"/>
      <c r="C478" s="166"/>
      <c r="D478" s="157"/>
    </row>
    <row r="479" spans="1:17" ht="14.25" customHeight="1">
      <c r="B479" s="142" t="s">
        <v>461</v>
      </c>
      <c r="C479" s="166"/>
      <c r="D479" s="157"/>
    </row>
    <row r="480" spans="1:17" s="157" customFormat="1" ht="14.25" customHeight="1">
      <c r="C480" s="166"/>
    </row>
    <row r="481" spans="2:18" s="157" customFormat="1" ht="14.25" customHeight="1">
      <c r="B481" s="157" t="s">
        <v>462</v>
      </c>
      <c r="C481" s="166"/>
      <c r="D481" s="154" t="s">
        <v>726</v>
      </c>
      <c r="E481" s="8">
        <v>151.4</v>
      </c>
      <c r="F481" s="157" t="s">
        <v>727</v>
      </c>
    </row>
    <row r="482" spans="2:18" s="157" customFormat="1" ht="14.25" customHeight="1">
      <c r="C482" s="166"/>
    </row>
    <row r="483" spans="2:18" s="157" customFormat="1" ht="14.25" customHeight="1">
      <c r="B483" s="157" t="s">
        <v>463</v>
      </c>
      <c r="C483" s="166"/>
      <c r="D483" s="154" t="s">
        <v>728</v>
      </c>
      <c r="E483" s="10">
        <f>E481</f>
        <v>151.4</v>
      </c>
      <c r="F483" s="154" t="s">
        <v>227</v>
      </c>
      <c r="G483" s="154">
        <v>12</v>
      </c>
      <c r="H483" s="154" t="s">
        <v>76</v>
      </c>
      <c r="I483" s="154">
        <v>7</v>
      </c>
      <c r="J483" s="154" t="s">
        <v>76</v>
      </c>
      <c r="K483" s="53">
        <f>Q483</f>
        <v>3</v>
      </c>
      <c r="L483" s="154" t="s">
        <v>182</v>
      </c>
      <c r="M483" s="10">
        <f>ROUND(E483/G483+I483+K483,1)</f>
        <v>22.6</v>
      </c>
      <c r="N483" s="166" t="s">
        <v>7</v>
      </c>
      <c r="O483" s="293" t="s">
        <v>464</v>
      </c>
      <c r="P483" s="293"/>
      <c r="Q483" s="53">
        <f>'[1]基本 (1)'!H12</f>
        <v>3</v>
      </c>
      <c r="R483" s="157" t="s">
        <v>729</v>
      </c>
    </row>
    <row r="484" spans="2:18" s="157" customFormat="1" ht="14.25" customHeight="1">
      <c r="C484" s="166"/>
    </row>
    <row r="485" spans="2:18" s="157" customFormat="1" ht="14.25" customHeight="1">
      <c r="B485" s="157" t="s">
        <v>465</v>
      </c>
      <c r="C485" s="166"/>
      <c r="D485" s="154" t="s">
        <v>730</v>
      </c>
      <c r="E485" s="294">
        <v>30</v>
      </c>
      <c r="F485" s="157" t="s">
        <v>466</v>
      </c>
    </row>
    <row r="486" spans="2:18" s="157" customFormat="1" ht="14.25" customHeight="1">
      <c r="C486" s="166"/>
    </row>
    <row r="487" spans="2:18" s="157" customFormat="1" ht="14.25" customHeight="1">
      <c r="B487" s="157" t="s">
        <v>467</v>
      </c>
      <c r="C487" s="166"/>
      <c r="D487" s="154" t="s">
        <v>731</v>
      </c>
      <c r="E487" s="10">
        <f>ROUNDUP(MAX(MAX(I382:I392),G414)*2,-1)/2</f>
        <v>5</v>
      </c>
      <c r="F487" s="157" t="s">
        <v>732</v>
      </c>
      <c r="G487" s="167" t="s">
        <v>733</v>
      </c>
      <c r="H487" s="214" t="s">
        <v>468</v>
      </c>
      <c r="I487" s="214"/>
      <c r="J487" s="295">
        <f>HLOOKUP(E487,[1]保存シート!$AU$63:$BA$78,CEILING(M483,2.5)/2.5-2,FALSE)</f>
        <v>10300</v>
      </c>
      <c r="K487" s="157" t="s">
        <v>469</v>
      </c>
      <c r="L487" s="296" t="s">
        <v>470</v>
      </c>
      <c r="M487" s="296"/>
      <c r="N487" s="295">
        <f>HLOOKUP(IF(E481&lt;=50,50,IF(E481&lt;=75,75,IF(E481&lt;=100,100,IF(E481&lt;=125,125,IF(E481&lt;=150,150,IF(E481&lt;=175,175,IF(E481&lt;=200,200,250))))))),[1]保存シート!$BC$3:$BK$6,IF(E485=30,2,IF(E485=45,3,4)),FALSE)</f>
        <v>33300</v>
      </c>
      <c r="O487" s="157" t="s">
        <v>469</v>
      </c>
      <c r="P487" s="157" t="s">
        <v>261</v>
      </c>
    </row>
    <row r="488" spans="2:18" s="157" customFormat="1" ht="14.25" customHeight="1">
      <c r="C488" s="166"/>
    </row>
    <row r="489" spans="2:18" s="157" customFormat="1" ht="14.25" customHeight="1">
      <c r="B489" s="157" t="s">
        <v>471</v>
      </c>
      <c r="C489" s="166"/>
      <c r="D489" s="154" t="s">
        <v>292</v>
      </c>
      <c r="E489" s="10">
        <f>HLOOKUP(E487,[1]保存シート!$AM$63:$AS$78,CEILING(M483,2.5)/2.5-2,FALSE)</f>
        <v>12</v>
      </c>
      <c r="F489" s="157" t="s">
        <v>358</v>
      </c>
      <c r="G489" s="157" t="s">
        <v>472</v>
      </c>
    </row>
    <row r="490" spans="2:18" s="157" customFormat="1" ht="14.25" customHeight="1">
      <c r="C490" s="166"/>
    </row>
    <row r="491" spans="2:18" s="157" customFormat="1" ht="14.25" customHeight="1">
      <c r="B491" s="157" t="s">
        <v>334</v>
      </c>
    </row>
    <row r="492" spans="2:18" s="157" customFormat="1" ht="14.25" customHeight="1">
      <c r="C492" s="157" t="s">
        <v>734</v>
      </c>
    </row>
    <row r="493" spans="2:18" s="157" customFormat="1" ht="14.25" customHeight="1"/>
    <row r="494" spans="2:18" s="157" customFormat="1" ht="14.25" customHeight="1">
      <c r="C494" s="154" t="s">
        <v>735</v>
      </c>
      <c r="D494" s="154">
        <v>9.5000000000000001E-2</v>
      </c>
      <c r="E494" s="154" t="s">
        <v>242</v>
      </c>
      <c r="F494" s="10">
        <f>E489</f>
        <v>12</v>
      </c>
      <c r="G494" s="154" t="s">
        <v>473</v>
      </c>
      <c r="H494" s="297">
        <v>0.12</v>
      </c>
      <c r="I494" s="154" t="s">
        <v>691</v>
      </c>
      <c r="J494" s="10">
        <f>E481</f>
        <v>151.4</v>
      </c>
      <c r="K494" s="154" t="s">
        <v>227</v>
      </c>
      <c r="L494" s="298">
        <v>2</v>
      </c>
      <c r="M494" s="154" t="s">
        <v>400</v>
      </c>
      <c r="N494" s="297">
        <v>1.47</v>
      </c>
    </row>
    <row r="495" spans="2:18" s="157" customFormat="1" ht="14.25" customHeight="1"/>
    <row r="496" spans="2:18" s="157" customFormat="1" ht="14.25" customHeight="1" thickBot="1">
      <c r="C496" s="154" t="s">
        <v>686</v>
      </c>
      <c r="D496" s="58">
        <f>ROUND(D494*F494+(H494*J494/L494)+N494,1)</f>
        <v>11.7</v>
      </c>
      <c r="E496" s="163" t="s">
        <v>156</v>
      </c>
      <c r="F496" s="154"/>
      <c r="G496" s="158"/>
      <c r="I496" s="154"/>
      <c r="J496" s="159"/>
      <c r="L496" s="160"/>
    </row>
    <row r="497" spans="2:14" s="157" customFormat="1" ht="14.25" customHeight="1">
      <c r="C497" s="166"/>
    </row>
    <row r="498" spans="2:14" s="157" customFormat="1" ht="14.25" customHeight="1">
      <c r="C498" s="166"/>
    </row>
    <row r="499" spans="2:14" ht="14.25" customHeight="1">
      <c r="B499" s="142" t="s">
        <v>474</v>
      </c>
      <c r="L499" s="168"/>
      <c r="M499" s="168"/>
      <c r="N499" s="168"/>
    </row>
    <row r="500" spans="2:14" ht="14.25" customHeight="1">
      <c r="B500" s="160"/>
      <c r="C500" s="299"/>
      <c r="D500" s="160"/>
      <c r="E500" s="300"/>
      <c r="F500" s="300"/>
      <c r="G500" s="168"/>
      <c r="H500" s="168"/>
      <c r="I500" s="168"/>
      <c r="J500" s="168"/>
      <c r="K500" s="168"/>
      <c r="L500" s="168"/>
      <c r="M500" s="168"/>
      <c r="N500" s="168"/>
    </row>
    <row r="501" spans="2:14" ht="14.25" customHeight="1">
      <c r="B501" s="301" t="s">
        <v>475</v>
      </c>
      <c r="C501" s="301"/>
      <c r="D501" s="301"/>
      <c r="E501" s="302">
        <f>('[1]基本 (1)'!E19-1)*'[1]基本 (1)'!D12</f>
        <v>26</v>
      </c>
      <c r="F501" s="157" t="s">
        <v>163</v>
      </c>
      <c r="H501" s="303" t="s">
        <v>476</v>
      </c>
      <c r="I501" s="303"/>
      <c r="J501" s="302">
        <f>'[1]基本 (1)'!K16-E501</f>
        <v>0</v>
      </c>
      <c r="K501" s="157" t="s">
        <v>163</v>
      </c>
      <c r="L501" s="168"/>
      <c r="M501" s="168"/>
      <c r="N501" s="168"/>
    </row>
    <row r="502" spans="2:14" ht="14.25" customHeight="1">
      <c r="B502" s="160"/>
      <c r="C502" s="299"/>
      <c r="D502" s="160"/>
      <c r="E502" s="300"/>
      <c r="F502" s="300"/>
      <c r="G502" s="168"/>
      <c r="H502" s="168"/>
      <c r="I502" s="168"/>
      <c r="J502" s="168"/>
      <c r="K502" s="168"/>
      <c r="L502" s="168"/>
      <c r="M502" s="168"/>
      <c r="N502" s="168"/>
    </row>
    <row r="503" spans="2:14" ht="14.25" customHeight="1">
      <c r="B503" s="146" t="s">
        <v>477</v>
      </c>
      <c r="C503" s="148"/>
      <c r="D503" s="148"/>
      <c r="E503" s="148"/>
      <c r="F503" s="148"/>
      <c r="L503" s="168"/>
      <c r="M503" s="168"/>
      <c r="N503" s="168"/>
    </row>
    <row r="504" spans="2:14" ht="14.25" customHeight="1">
      <c r="B504" s="148"/>
      <c r="C504" s="149" t="s">
        <v>736</v>
      </c>
      <c r="D504" s="146" t="s">
        <v>737</v>
      </c>
      <c r="E504" s="148"/>
      <c r="F504" s="148"/>
      <c r="G504" s="157" t="s">
        <v>478</v>
      </c>
      <c r="L504" s="168"/>
      <c r="M504" s="168"/>
      <c r="N504" s="168"/>
    </row>
    <row r="505" spans="2:14" ht="14.25" customHeight="1">
      <c r="B505" s="160"/>
      <c r="C505" s="299"/>
      <c r="D505" s="160"/>
      <c r="E505" s="300"/>
      <c r="F505" s="300"/>
      <c r="G505" s="168"/>
      <c r="H505" s="168"/>
      <c r="I505" s="168"/>
      <c r="J505" s="168"/>
      <c r="K505" s="168"/>
      <c r="L505" s="168"/>
      <c r="M505" s="168"/>
      <c r="N505" s="168"/>
    </row>
    <row r="506" spans="2:14" ht="14.25" customHeight="1">
      <c r="B506" s="148"/>
      <c r="C506" s="149" t="s">
        <v>212</v>
      </c>
      <c r="D506" s="150">
        <v>1.43</v>
      </c>
      <c r="E506" s="149" t="s">
        <v>211</v>
      </c>
      <c r="F506" s="150">
        <v>1</v>
      </c>
      <c r="G506" s="154" t="s">
        <v>436</v>
      </c>
      <c r="H506" s="155">
        <v>1.62</v>
      </c>
      <c r="L506" s="168"/>
      <c r="M506" s="168"/>
      <c r="N506" s="168"/>
    </row>
    <row r="507" spans="2:14" ht="14.25" customHeight="1">
      <c r="B507" s="160"/>
      <c r="C507" s="299"/>
      <c r="D507" s="160"/>
      <c r="E507" s="300"/>
      <c r="F507" s="300"/>
      <c r="G507" s="168"/>
      <c r="H507" s="168"/>
      <c r="I507" s="168"/>
      <c r="J507" s="168"/>
      <c r="K507" s="168"/>
      <c r="L507" s="168"/>
      <c r="M507" s="168"/>
      <c r="N507" s="168"/>
    </row>
    <row r="508" spans="2:14" ht="14.25" customHeight="1">
      <c r="B508" s="148"/>
      <c r="C508" s="149" t="s">
        <v>212</v>
      </c>
      <c r="D508" s="234">
        <f>ROUND(D506*F506+H506,1)</f>
        <v>3.1</v>
      </c>
      <c r="E508" s="146" t="s">
        <v>738</v>
      </c>
      <c r="F508" s="148"/>
      <c r="L508" s="168"/>
      <c r="M508" s="168"/>
      <c r="N508" s="168"/>
    </row>
    <row r="509" spans="2:14" ht="14.25" customHeight="1">
      <c r="B509" s="160"/>
      <c r="C509" s="299"/>
      <c r="D509" s="160"/>
      <c r="E509" s="300"/>
      <c r="F509" s="300"/>
      <c r="G509" s="168"/>
      <c r="H509" s="168"/>
      <c r="I509" s="168"/>
      <c r="J509" s="168"/>
      <c r="K509" s="168"/>
      <c r="L509" s="168"/>
      <c r="M509" s="168"/>
      <c r="N509" s="168"/>
    </row>
    <row r="510" spans="2:14" ht="14.25" customHeight="1">
      <c r="B510" s="148"/>
      <c r="C510" s="180" t="s">
        <v>479</v>
      </c>
      <c r="D510" s="304"/>
      <c r="E510" s="305" t="s">
        <v>739</v>
      </c>
      <c r="F510" s="186">
        <f>E501</f>
        <v>26</v>
      </c>
      <c r="G510" s="154" t="s">
        <v>211</v>
      </c>
      <c r="H510" s="156">
        <f>D508</f>
        <v>3.1</v>
      </c>
      <c r="I510" s="154" t="s">
        <v>212</v>
      </c>
      <c r="J510" s="156">
        <f>ROUND(F510*H510,1)</f>
        <v>80.599999999999994</v>
      </c>
      <c r="K510" s="157" t="s">
        <v>423</v>
      </c>
      <c r="L510" s="168"/>
      <c r="M510" s="168"/>
      <c r="N510" s="168"/>
    </row>
    <row r="511" spans="2:14" ht="14.25" customHeight="1">
      <c r="B511" s="160"/>
      <c r="C511" s="299"/>
      <c r="D511" s="160"/>
      <c r="E511" s="300"/>
      <c r="F511" s="300"/>
      <c r="G511" s="168"/>
      <c r="H511" s="168"/>
      <c r="I511" s="168"/>
      <c r="J511" s="168"/>
      <c r="K511" s="168"/>
      <c r="L511" s="168"/>
      <c r="M511" s="168"/>
      <c r="N511" s="168"/>
    </row>
    <row r="512" spans="2:14" ht="14.25" customHeight="1">
      <c r="B512" s="148"/>
      <c r="C512" s="180" t="s">
        <v>480</v>
      </c>
      <c r="D512" s="304"/>
      <c r="E512" s="149" t="s">
        <v>481</v>
      </c>
      <c r="F512" s="186">
        <f>J501</f>
        <v>0</v>
      </c>
      <c r="G512" s="154" t="s">
        <v>211</v>
      </c>
      <c r="H512" s="156">
        <f>D508</f>
        <v>3.1</v>
      </c>
      <c r="I512" s="154" t="s">
        <v>34</v>
      </c>
      <c r="J512" s="156">
        <f>ROUND(F512*H512,1)</f>
        <v>0</v>
      </c>
      <c r="K512" s="157" t="s">
        <v>278</v>
      </c>
      <c r="L512" s="168"/>
      <c r="M512" s="168"/>
      <c r="N512" s="168"/>
    </row>
    <row r="513" spans="2:14" ht="14.25" customHeight="1">
      <c r="B513" s="160"/>
      <c r="C513" s="299"/>
      <c r="D513" s="160"/>
      <c r="E513" s="300"/>
      <c r="F513" s="300"/>
      <c r="G513" s="168"/>
      <c r="H513" s="168"/>
      <c r="I513" s="168"/>
      <c r="J513" s="168"/>
      <c r="K513" s="168"/>
      <c r="L513" s="168"/>
      <c r="M513" s="168"/>
      <c r="N513" s="168"/>
    </row>
    <row r="514" spans="2:14" ht="14.25" customHeight="1">
      <c r="B514" s="146" t="s">
        <v>482</v>
      </c>
      <c r="C514" s="148"/>
      <c r="D514" s="148"/>
      <c r="E514" s="148"/>
      <c r="F514" s="148"/>
      <c r="L514" s="168"/>
      <c r="M514" s="168"/>
      <c r="N514" s="168"/>
    </row>
    <row r="515" spans="2:14" ht="14.25" customHeight="1">
      <c r="B515" s="148"/>
      <c r="C515" s="149" t="s">
        <v>483</v>
      </c>
      <c r="D515" s="146" t="s">
        <v>484</v>
      </c>
      <c r="E515" s="148"/>
      <c r="F515" s="148"/>
      <c r="L515" s="168"/>
      <c r="M515" s="168"/>
      <c r="N515" s="168"/>
    </row>
    <row r="516" spans="2:14" ht="14.25" customHeight="1">
      <c r="B516" s="160"/>
      <c r="C516" s="299"/>
      <c r="D516" s="160"/>
      <c r="E516" s="300"/>
      <c r="F516" s="300"/>
      <c r="G516" s="168"/>
      <c r="H516" s="168"/>
      <c r="I516" s="168"/>
      <c r="J516" s="168"/>
      <c r="K516" s="168"/>
      <c r="L516" s="168"/>
      <c r="M516" s="168"/>
      <c r="N516" s="168"/>
    </row>
    <row r="517" spans="2:14" ht="14.25" customHeight="1">
      <c r="B517" s="148"/>
      <c r="C517" s="149" t="s">
        <v>34</v>
      </c>
      <c r="D517" s="151">
        <f>J510</f>
        <v>80.599999999999994</v>
      </c>
      <c r="E517" s="149" t="s">
        <v>740</v>
      </c>
      <c r="F517" s="150">
        <v>0.13</v>
      </c>
      <c r="G517" s="154" t="s">
        <v>211</v>
      </c>
      <c r="H517" s="156">
        <f>J510</f>
        <v>80.599999999999994</v>
      </c>
      <c r="I517" s="154" t="s">
        <v>245</v>
      </c>
      <c r="J517" s="158">
        <v>1.6</v>
      </c>
      <c r="K517" s="157" t="s">
        <v>741</v>
      </c>
      <c r="L517" s="168"/>
      <c r="M517" s="168"/>
      <c r="N517" s="168"/>
    </row>
    <row r="518" spans="2:14" ht="14.25" customHeight="1">
      <c r="B518" s="160"/>
      <c r="C518" s="299"/>
      <c r="D518" s="160"/>
      <c r="E518" s="300"/>
      <c r="F518" s="300"/>
      <c r="G518" s="168"/>
      <c r="H518" s="168"/>
      <c r="I518" s="168"/>
      <c r="J518" s="168"/>
      <c r="K518" s="168"/>
      <c r="L518" s="168"/>
      <c r="M518" s="168"/>
      <c r="N518" s="168"/>
    </row>
    <row r="519" spans="2:14" ht="14.25" customHeight="1">
      <c r="B519" s="148"/>
      <c r="C519" s="149" t="s">
        <v>34</v>
      </c>
      <c r="D519" s="151">
        <f>ROUND(D517/(F517*H517+J517),1)</f>
        <v>6.7</v>
      </c>
      <c r="E519" s="146" t="s">
        <v>314</v>
      </c>
      <c r="F519" s="154"/>
      <c r="G519" s="158"/>
      <c r="H519" s="157"/>
      <c r="I519" s="154"/>
      <c r="J519" s="159"/>
      <c r="K519" s="157"/>
      <c r="L519" s="160"/>
      <c r="M519" s="168"/>
      <c r="N519" s="168"/>
    </row>
    <row r="520" spans="2:14" ht="14.25" customHeight="1">
      <c r="B520" s="160"/>
      <c r="C520" s="299"/>
      <c r="D520" s="160"/>
      <c r="E520" s="300"/>
      <c r="F520" s="300"/>
      <c r="G520" s="168"/>
      <c r="H520" s="168"/>
      <c r="I520" s="168"/>
      <c r="J520" s="168"/>
      <c r="K520" s="168"/>
      <c r="L520" s="168"/>
      <c r="M520" s="168"/>
      <c r="N520" s="168"/>
    </row>
    <row r="521" spans="2:14" ht="14.25" customHeight="1">
      <c r="B521" s="146" t="s">
        <v>485</v>
      </c>
      <c r="C521" s="148"/>
      <c r="D521" s="148"/>
      <c r="E521" s="148"/>
      <c r="F521" s="148"/>
      <c r="L521" s="168"/>
      <c r="M521" s="168"/>
      <c r="N521" s="168"/>
    </row>
    <row r="522" spans="2:14" ht="14.25" customHeight="1">
      <c r="B522" s="148"/>
      <c r="C522" s="149" t="s">
        <v>486</v>
      </c>
      <c r="D522" s="146" t="s">
        <v>742</v>
      </c>
      <c r="E522" s="148"/>
      <c r="F522" s="148"/>
      <c r="L522" s="168"/>
      <c r="M522" s="168"/>
      <c r="N522" s="168"/>
    </row>
    <row r="523" spans="2:14" ht="14.25" customHeight="1">
      <c r="B523" s="160"/>
      <c r="C523" s="299"/>
      <c r="D523" s="160"/>
      <c r="E523" s="300"/>
      <c r="F523" s="300"/>
      <c r="G523" s="168"/>
      <c r="H523" s="168"/>
      <c r="I523" s="168"/>
      <c r="J523" s="168"/>
      <c r="K523" s="168"/>
      <c r="L523" s="168"/>
      <c r="M523" s="168"/>
      <c r="N523" s="168"/>
    </row>
    <row r="524" spans="2:14" ht="14.25" customHeight="1">
      <c r="B524" s="148"/>
      <c r="C524" s="149" t="s">
        <v>34</v>
      </c>
      <c r="D524" s="151">
        <f>J510</f>
        <v>80.599999999999994</v>
      </c>
      <c r="E524" s="149" t="s">
        <v>267</v>
      </c>
      <c r="F524" s="234">
        <f>D519</f>
        <v>6.7</v>
      </c>
      <c r="L524" s="168"/>
      <c r="M524" s="168"/>
      <c r="N524" s="168"/>
    </row>
    <row r="525" spans="2:14" ht="14.25" customHeight="1">
      <c r="B525" s="160"/>
      <c r="C525" s="299"/>
      <c r="D525" s="160"/>
      <c r="E525" s="300"/>
      <c r="F525" s="300"/>
      <c r="G525" s="168"/>
      <c r="H525" s="168"/>
      <c r="I525" s="168"/>
      <c r="J525" s="168"/>
      <c r="K525" s="168"/>
      <c r="L525" s="168"/>
      <c r="M525" s="168"/>
      <c r="N525" s="168"/>
    </row>
    <row r="526" spans="2:14" ht="14.25" customHeight="1">
      <c r="B526" s="148"/>
      <c r="C526" s="149" t="s">
        <v>241</v>
      </c>
      <c r="D526" s="234">
        <f>ROUND(D524/F524,1)</f>
        <v>12</v>
      </c>
      <c r="E526" s="146" t="s">
        <v>156</v>
      </c>
      <c r="F526" s="148"/>
      <c r="L526" s="168"/>
      <c r="M526" s="168"/>
      <c r="N526" s="168"/>
    </row>
    <row r="527" spans="2:14" ht="14.25" customHeight="1">
      <c r="B527" s="160"/>
      <c r="C527" s="299"/>
      <c r="D527" s="160"/>
      <c r="E527" s="300"/>
      <c r="F527" s="300"/>
      <c r="G527" s="168"/>
      <c r="H527" s="168"/>
      <c r="I527" s="168"/>
      <c r="J527" s="168"/>
      <c r="K527" s="168"/>
      <c r="L527" s="168"/>
      <c r="M527" s="168"/>
      <c r="N527" s="168"/>
    </row>
    <row r="528" spans="2:14" ht="14.25" customHeight="1">
      <c r="B528" s="146" t="s">
        <v>487</v>
      </c>
      <c r="C528" s="148"/>
      <c r="D528" s="148"/>
      <c r="E528" s="148"/>
      <c r="F528" s="148"/>
      <c r="L528" s="168"/>
      <c r="M528" s="168"/>
      <c r="N528" s="168"/>
    </row>
    <row r="529" spans="2:14" ht="14.25" customHeight="1">
      <c r="B529" s="148"/>
      <c r="C529" s="149" t="s">
        <v>488</v>
      </c>
      <c r="D529" s="146" t="s">
        <v>743</v>
      </c>
      <c r="E529" s="148"/>
      <c r="F529" s="148"/>
      <c r="N529" s="168"/>
    </row>
    <row r="530" spans="2:14" ht="14.25" customHeight="1">
      <c r="B530" s="160"/>
      <c r="C530" s="299"/>
      <c r="D530" s="160"/>
      <c r="E530" s="300"/>
      <c r="F530" s="300"/>
      <c r="G530" s="168"/>
      <c r="H530" s="168"/>
      <c r="I530" s="168"/>
      <c r="J530" s="168"/>
      <c r="K530" s="168"/>
      <c r="L530" s="168"/>
      <c r="M530" s="168"/>
      <c r="N530" s="168"/>
    </row>
    <row r="531" spans="2:14" ht="14.25" customHeight="1">
      <c r="B531" s="148"/>
      <c r="C531" s="149" t="s">
        <v>173</v>
      </c>
      <c r="D531" s="147">
        <v>2</v>
      </c>
      <c r="E531" s="149" t="s">
        <v>254</v>
      </c>
      <c r="F531" s="151">
        <f>J512</f>
        <v>0</v>
      </c>
      <c r="G531" s="154" t="s">
        <v>266</v>
      </c>
      <c r="H531" s="155">
        <v>0.13</v>
      </c>
      <c r="I531" s="154" t="s">
        <v>177</v>
      </c>
      <c r="J531" s="156">
        <f>J512</f>
        <v>0</v>
      </c>
      <c r="K531" s="154" t="s">
        <v>245</v>
      </c>
      <c r="L531" s="158">
        <v>1</v>
      </c>
      <c r="M531" s="157" t="s">
        <v>261</v>
      </c>
      <c r="N531" s="168"/>
    </row>
    <row r="532" spans="2:14" ht="14.25" customHeight="1">
      <c r="B532" s="160"/>
      <c r="C532" s="299"/>
      <c r="D532" s="160"/>
      <c r="E532" s="300"/>
      <c r="F532" s="300"/>
      <c r="G532" s="168"/>
      <c r="H532" s="168"/>
      <c r="I532" s="168"/>
      <c r="J532" s="168"/>
      <c r="K532" s="168"/>
      <c r="L532" s="168"/>
      <c r="M532" s="168"/>
      <c r="N532" s="168"/>
    </row>
    <row r="533" spans="2:14" ht="14.25" customHeight="1">
      <c r="B533" s="148"/>
      <c r="C533" s="149" t="s">
        <v>34</v>
      </c>
      <c r="D533" s="234">
        <f>ROUND(D531*F531/(H531*J531+L531),1)</f>
        <v>0</v>
      </c>
      <c r="E533" s="146" t="s">
        <v>314</v>
      </c>
      <c r="F533" s="154"/>
      <c r="G533" s="158"/>
      <c r="H533" s="157"/>
      <c r="I533" s="154"/>
      <c r="J533" s="159"/>
      <c r="K533" s="157"/>
      <c r="L533" s="160"/>
      <c r="N533" s="168"/>
    </row>
    <row r="534" spans="2:14" ht="14.25" customHeight="1">
      <c r="B534" s="160"/>
      <c r="C534" s="299"/>
      <c r="D534" s="160"/>
      <c r="E534" s="300"/>
      <c r="F534" s="300"/>
      <c r="G534" s="168"/>
      <c r="H534" s="168"/>
      <c r="I534" s="168"/>
      <c r="J534" s="168"/>
      <c r="K534" s="168"/>
      <c r="L534" s="168"/>
      <c r="M534" s="168"/>
      <c r="N534" s="168"/>
    </row>
    <row r="535" spans="2:14" ht="14.25" customHeight="1">
      <c r="B535" s="146" t="s">
        <v>489</v>
      </c>
      <c r="C535" s="148"/>
      <c r="D535" s="148"/>
      <c r="E535" s="148"/>
      <c r="F535" s="148"/>
      <c r="N535" s="168"/>
    </row>
    <row r="536" spans="2:14" ht="14.25" customHeight="1">
      <c r="B536" s="148"/>
      <c r="C536" s="149" t="s">
        <v>490</v>
      </c>
      <c r="D536" s="146" t="s">
        <v>744</v>
      </c>
      <c r="E536" s="148"/>
      <c r="F536" s="148"/>
      <c r="N536" s="168"/>
    </row>
    <row r="537" spans="2:14" ht="14.25" customHeight="1">
      <c r="B537" s="160"/>
      <c r="C537" s="299"/>
      <c r="D537" s="160"/>
      <c r="E537" s="300"/>
      <c r="F537" s="300"/>
      <c r="G537" s="168"/>
      <c r="H537" s="168"/>
      <c r="I537" s="168"/>
      <c r="J537" s="168"/>
      <c r="K537" s="168"/>
      <c r="L537" s="168"/>
      <c r="M537" s="168"/>
      <c r="N537" s="168"/>
    </row>
    <row r="538" spans="2:14" ht="14.25" customHeight="1">
      <c r="B538" s="148"/>
      <c r="C538" s="149" t="s">
        <v>34</v>
      </c>
      <c r="D538" s="151">
        <f>J512</f>
        <v>0</v>
      </c>
      <c r="E538" s="149" t="s">
        <v>267</v>
      </c>
      <c r="F538" s="234">
        <f>D533</f>
        <v>0</v>
      </c>
      <c r="N538" s="168"/>
    </row>
    <row r="539" spans="2:14" ht="14.25" customHeight="1">
      <c r="B539" s="160"/>
      <c r="C539" s="299"/>
      <c r="D539" s="160"/>
      <c r="E539" s="300"/>
      <c r="F539" s="300"/>
      <c r="G539" s="168"/>
      <c r="H539" s="168"/>
      <c r="I539" s="168"/>
      <c r="J539" s="168"/>
      <c r="K539" s="168"/>
      <c r="L539" s="168"/>
      <c r="M539" s="168"/>
      <c r="N539" s="168"/>
    </row>
    <row r="540" spans="2:14" ht="14.25" customHeight="1">
      <c r="B540" s="148"/>
      <c r="C540" s="149" t="s">
        <v>34</v>
      </c>
      <c r="D540" s="234">
        <f>ROUND(IF(F538&lt;=0,0,D538/F538),1)</f>
        <v>0</v>
      </c>
      <c r="E540" s="146" t="s">
        <v>156</v>
      </c>
      <c r="F540" s="148"/>
      <c r="N540" s="168"/>
    </row>
    <row r="541" spans="2:14" ht="14.25" customHeight="1">
      <c r="B541" s="160"/>
      <c r="C541" s="299"/>
      <c r="D541" s="160"/>
      <c r="E541" s="300"/>
      <c r="F541" s="300"/>
      <c r="G541" s="168"/>
      <c r="H541" s="168"/>
      <c r="I541" s="168"/>
      <c r="J541" s="168"/>
      <c r="K541" s="168"/>
      <c r="L541" s="168"/>
      <c r="M541" s="168"/>
      <c r="N541" s="168"/>
    </row>
    <row r="542" spans="2:14" ht="14.25" customHeight="1">
      <c r="B542" s="146" t="s">
        <v>334</v>
      </c>
      <c r="C542" s="148"/>
      <c r="D542" s="148"/>
      <c r="E542" s="148"/>
      <c r="F542" s="148"/>
      <c r="N542" s="168"/>
    </row>
    <row r="543" spans="2:14" ht="14.25" customHeight="1">
      <c r="B543" s="148"/>
      <c r="C543" s="149" t="s">
        <v>491</v>
      </c>
      <c r="D543" s="146" t="s">
        <v>492</v>
      </c>
      <c r="E543" s="148"/>
      <c r="F543" s="148"/>
      <c r="H543" s="168"/>
      <c r="I543" s="168"/>
      <c r="J543" s="168"/>
      <c r="K543" s="168"/>
      <c r="L543" s="168"/>
      <c r="M543" s="168"/>
      <c r="N543" s="168"/>
    </row>
    <row r="544" spans="2:14" ht="14.25" customHeight="1">
      <c r="B544" s="160"/>
      <c r="C544" s="299"/>
      <c r="D544" s="160"/>
      <c r="E544" s="300"/>
      <c r="F544" s="300"/>
      <c r="G544" s="168"/>
      <c r="H544" s="168"/>
      <c r="I544" s="168"/>
      <c r="J544" s="168"/>
      <c r="K544" s="168"/>
      <c r="L544" s="168"/>
      <c r="M544" s="168"/>
      <c r="N544" s="168"/>
    </row>
    <row r="545" spans="2:14" ht="14.25" customHeight="1">
      <c r="B545" s="148"/>
      <c r="C545" s="149" t="s">
        <v>173</v>
      </c>
      <c r="D545" s="234">
        <f>D526</f>
        <v>12</v>
      </c>
      <c r="E545" s="149" t="s">
        <v>245</v>
      </c>
      <c r="F545" s="234">
        <f>D540</f>
        <v>0</v>
      </c>
      <c r="H545" s="168"/>
      <c r="I545" s="168"/>
      <c r="J545" s="168"/>
      <c r="K545" s="168"/>
      <c r="L545" s="168"/>
      <c r="M545" s="168"/>
      <c r="N545" s="168"/>
    </row>
    <row r="546" spans="2:14" ht="14.25" customHeight="1">
      <c r="B546" s="160"/>
      <c r="C546" s="299"/>
      <c r="D546" s="160"/>
      <c r="E546" s="300"/>
      <c r="F546" s="300"/>
      <c r="G546" s="168"/>
      <c r="H546" s="168"/>
      <c r="I546" s="168"/>
      <c r="J546" s="168"/>
      <c r="K546" s="168"/>
      <c r="L546" s="168"/>
      <c r="M546" s="168"/>
      <c r="N546" s="168"/>
    </row>
    <row r="547" spans="2:14" ht="14.25" customHeight="1" thickBot="1">
      <c r="B547" s="148"/>
      <c r="C547" s="149" t="s">
        <v>34</v>
      </c>
      <c r="D547" s="162">
        <f>D545+F545</f>
        <v>12</v>
      </c>
      <c r="E547" s="163" t="s">
        <v>156</v>
      </c>
      <c r="F547" s="148"/>
      <c r="H547" s="168"/>
      <c r="I547" s="168"/>
      <c r="J547" s="168"/>
      <c r="K547" s="168"/>
      <c r="L547" s="168"/>
      <c r="M547" s="168"/>
      <c r="N547" s="168"/>
    </row>
    <row r="548" spans="2:14" ht="14.25" customHeight="1">
      <c r="B548" s="157"/>
      <c r="C548" s="166"/>
      <c r="D548" s="157"/>
    </row>
    <row r="549" spans="2:14" ht="14.25" customHeight="1">
      <c r="B549" s="157"/>
      <c r="C549" s="166"/>
      <c r="D549" s="157"/>
    </row>
    <row r="550" spans="2:14" ht="14.25" customHeight="1">
      <c r="B550" s="142" t="s">
        <v>493</v>
      </c>
      <c r="C550" s="166"/>
      <c r="D550" s="157"/>
    </row>
    <row r="551" spans="2:14" ht="14.25" customHeight="1">
      <c r="B551" s="157"/>
      <c r="C551" s="260"/>
    </row>
    <row r="552" spans="2:14" ht="14.25" customHeight="1">
      <c r="B552" s="143" t="s">
        <v>494</v>
      </c>
    </row>
    <row r="553" spans="2:14" ht="14.25" customHeight="1"/>
    <row r="554" spans="2:14" ht="14.25" customHeight="1">
      <c r="B554" s="157" t="s">
        <v>495</v>
      </c>
      <c r="E554" s="155" t="s">
        <v>496</v>
      </c>
      <c r="F554" s="210">
        <f>'[1]基本 (1)'!K18</f>
        <v>28</v>
      </c>
      <c r="G554" s="157" t="s">
        <v>23</v>
      </c>
    </row>
    <row r="555" spans="2:14" ht="14.25" customHeight="1"/>
    <row r="556" spans="2:14" ht="14.25" customHeight="1">
      <c r="B556" s="157" t="s">
        <v>497</v>
      </c>
      <c r="D556" s="156">
        <f>'[1]基本 (1)'!G28</f>
        <v>411.8</v>
      </c>
      <c r="E556" s="141" t="s">
        <v>433</v>
      </c>
      <c r="F556" s="157" t="s">
        <v>498</v>
      </c>
      <c r="H556" s="156">
        <f>'[1]基本 (1)'!G28+'[1]基本 (1)'!G29*((('[1]基本 (1)'!D12-1)-ROUNDDOWN(('[1]基本 (1)'!D12-1)/'[1]基本 (1)'!H14,0))/('[1]基本 (1)'!D12-1))</f>
        <v>443.8</v>
      </c>
      <c r="I556" s="141" t="s">
        <v>433</v>
      </c>
    </row>
    <row r="557" spans="2:14" ht="14.25" customHeight="1"/>
    <row r="558" spans="2:14" ht="14.25" customHeight="1">
      <c r="B558" s="157" t="s">
        <v>745</v>
      </c>
      <c r="F558" s="156">
        <f>D556</f>
        <v>411.8</v>
      </c>
      <c r="G558" s="155" t="s">
        <v>227</v>
      </c>
      <c r="H558" s="165">
        <f>F554</f>
        <v>28</v>
      </c>
      <c r="I558" s="155" t="s">
        <v>182</v>
      </c>
      <c r="J558" s="210">
        <f>ROUND(F558/H558,1)</f>
        <v>14.7</v>
      </c>
      <c r="K558" s="157" t="s">
        <v>423</v>
      </c>
      <c r="L558" s="155" t="s">
        <v>393</v>
      </c>
      <c r="M558" s="154" t="s">
        <v>746</v>
      </c>
      <c r="N558" s="156">
        <f>IF(J558&lt;=20,1.3,IF(J558&lt;=30,1.7,IF(J558&lt;=40,2,2.2)))</f>
        <v>1.3</v>
      </c>
    </row>
    <row r="559" spans="2:14" ht="14.25" customHeight="1"/>
    <row r="560" spans="2:14" ht="14.25" customHeight="1">
      <c r="B560" s="141" t="s">
        <v>501</v>
      </c>
    </row>
    <row r="561" spans="2:14" ht="14.25" customHeight="1">
      <c r="C561" s="154" t="s">
        <v>747</v>
      </c>
      <c r="D561" s="166" t="s">
        <v>748</v>
      </c>
      <c r="I561" s="157" t="s">
        <v>520</v>
      </c>
      <c r="J561" s="155">
        <v>9</v>
      </c>
      <c r="K561" s="154" t="s">
        <v>749</v>
      </c>
      <c r="L561" s="155" t="s">
        <v>504</v>
      </c>
      <c r="M561" s="154" t="s">
        <v>749</v>
      </c>
      <c r="N561" s="155">
        <v>55</v>
      </c>
    </row>
    <row r="562" spans="2:14" ht="14.25" customHeight="1"/>
    <row r="563" spans="2:14" ht="14.25" customHeight="1">
      <c r="C563" s="155" t="s">
        <v>182</v>
      </c>
      <c r="D563" s="156">
        <f>H556</f>
        <v>443.8</v>
      </c>
      <c r="E563" s="154" t="s">
        <v>750</v>
      </c>
      <c r="F563" s="297">
        <v>0.24</v>
      </c>
      <c r="G563" s="154" t="s">
        <v>254</v>
      </c>
      <c r="H563" s="156">
        <f>N558</f>
        <v>1.3</v>
      </c>
      <c r="I563" s="154" t="s">
        <v>440</v>
      </c>
      <c r="J563" s="210">
        <f>F554</f>
        <v>28</v>
      </c>
      <c r="K563" s="154" t="s">
        <v>245</v>
      </c>
      <c r="L563" s="155">
        <v>12</v>
      </c>
      <c r="M563" s="157" t="s">
        <v>522</v>
      </c>
    </row>
    <row r="564" spans="2:14" ht="14.25" customHeight="1"/>
    <row r="565" spans="2:14" ht="14.25" customHeight="1">
      <c r="C565" s="155" t="s">
        <v>182</v>
      </c>
      <c r="D565" s="156">
        <f>ROUND(D563/(F563*H563*(J563+L563)),1)</f>
        <v>35.6</v>
      </c>
      <c r="E565" s="157" t="s">
        <v>523</v>
      </c>
      <c r="F565" s="154"/>
      <c r="G565" s="158"/>
      <c r="H565" s="157"/>
      <c r="I565" s="154"/>
      <c r="J565" s="159"/>
      <c r="K565" s="157"/>
      <c r="L565" s="160"/>
      <c r="M565" s="155"/>
    </row>
    <row r="566" spans="2:14" ht="14.25" customHeight="1"/>
    <row r="567" spans="2:14" ht="14.25" customHeight="1">
      <c r="B567" s="141" t="s">
        <v>249</v>
      </c>
    </row>
    <row r="568" spans="2:14" ht="14.25" customHeight="1">
      <c r="C568" s="154" t="s">
        <v>505</v>
      </c>
      <c r="D568" s="157" t="s">
        <v>524</v>
      </c>
    </row>
    <row r="569" spans="2:14" ht="14.25" customHeight="1"/>
    <row r="570" spans="2:14" ht="14.25" customHeight="1">
      <c r="C570" s="155" t="s">
        <v>182</v>
      </c>
      <c r="D570" s="156">
        <f>H556</f>
        <v>443.8</v>
      </c>
      <c r="E570" s="155" t="s">
        <v>227</v>
      </c>
      <c r="F570" s="156">
        <f>D565</f>
        <v>35.6</v>
      </c>
    </row>
    <row r="571" spans="2:14" ht="14.25" customHeight="1"/>
    <row r="572" spans="2:14" ht="14.25" customHeight="1" thickBot="1">
      <c r="C572" s="155" t="s">
        <v>182</v>
      </c>
      <c r="D572" s="162">
        <f>ROUND(D570/F570,1)</f>
        <v>12.5</v>
      </c>
      <c r="E572" s="206" t="s">
        <v>183</v>
      </c>
    </row>
    <row r="573" spans="2:14" ht="14.25" customHeight="1"/>
    <row r="574" spans="2:14" ht="14.25" customHeight="1"/>
    <row r="575" spans="2:14" ht="14.25" customHeight="1">
      <c r="B575" s="143" t="s">
        <v>506</v>
      </c>
    </row>
    <row r="576" spans="2:14" ht="14.25" customHeight="1"/>
    <row r="577" spans="2:14" ht="14.25" customHeight="1">
      <c r="B577" s="157" t="s">
        <v>332</v>
      </c>
      <c r="E577" s="8">
        <v>43.2</v>
      </c>
      <c r="F577" s="261" t="s">
        <v>342</v>
      </c>
      <c r="G577" s="154"/>
      <c r="H577" s="158"/>
      <c r="I577" s="157"/>
      <c r="J577" s="154"/>
      <c r="K577" s="159"/>
      <c r="L577" s="157"/>
      <c r="M577" s="160"/>
    </row>
    <row r="578" spans="2:14" ht="14.25" customHeight="1">
      <c r="E578" s="141" t="s">
        <v>507</v>
      </c>
      <c r="I578" s="157"/>
      <c r="J578" s="155"/>
      <c r="K578" s="154"/>
      <c r="L578" s="155"/>
      <c r="M578" s="154"/>
      <c r="N578" s="155"/>
    </row>
    <row r="579" spans="2:14" ht="14.25" customHeight="1">
      <c r="B579" s="157" t="s">
        <v>508</v>
      </c>
    </row>
    <row r="580" spans="2:14" ht="14.25" customHeight="1">
      <c r="C580" s="154" t="s">
        <v>339</v>
      </c>
      <c r="D580" s="157" t="s">
        <v>751</v>
      </c>
    </row>
    <row r="581" spans="2:14" ht="14.25" customHeight="1"/>
    <row r="582" spans="2:14" ht="14.25" customHeight="1">
      <c r="C582" s="120" t="s">
        <v>241</v>
      </c>
      <c r="D582" s="156">
        <f>'[1]基本 (1)'!N7</f>
        <v>151.4</v>
      </c>
      <c r="E582" s="120" t="s">
        <v>76</v>
      </c>
      <c r="F582" s="156">
        <f>N165</f>
        <v>15</v>
      </c>
      <c r="G582" s="154" t="s">
        <v>76</v>
      </c>
      <c r="H582" s="213">
        <v>2.5</v>
      </c>
      <c r="I582" s="154"/>
      <c r="J582" s="155"/>
      <c r="K582" s="154"/>
      <c r="L582" s="155"/>
      <c r="M582" s="154"/>
      <c r="N582" s="155"/>
    </row>
    <row r="583" spans="2:14" ht="14.25" customHeight="1"/>
    <row r="584" spans="2:14" ht="14.25" customHeight="1">
      <c r="C584" s="155" t="s">
        <v>182</v>
      </c>
      <c r="D584" s="151">
        <f>D582+F582+H582</f>
        <v>168.9</v>
      </c>
      <c r="E584" s="146" t="s">
        <v>239</v>
      </c>
    </row>
    <row r="585" spans="2:14" ht="14.25" customHeight="1"/>
    <row r="586" spans="2:14" ht="14.25" customHeight="1">
      <c r="B586" s="157" t="s">
        <v>334</v>
      </c>
    </row>
    <row r="587" spans="2:14" ht="14.25" customHeight="1">
      <c r="C587" s="154" t="s">
        <v>509</v>
      </c>
      <c r="D587" s="156">
        <f>D584</f>
        <v>168.9</v>
      </c>
      <c r="E587" s="155" t="s">
        <v>227</v>
      </c>
      <c r="F587" s="156">
        <f>E577</f>
        <v>43.2</v>
      </c>
    </row>
    <row r="588" spans="2:14" ht="14.25" customHeight="1"/>
    <row r="589" spans="2:14" ht="14.25" customHeight="1" thickBot="1">
      <c r="C589" s="154" t="s">
        <v>34</v>
      </c>
      <c r="D589" s="162">
        <f>ROUND(D587/F587,1)</f>
        <v>3.9</v>
      </c>
      <c r="E589" s="163" t="s">
        <v>156</v>
      </c>
    </row>
    <row r="590" spans="2:14" ht="14.25" customHeight="1"/>
    <row r="591" spans="2:14" ht="14.25" customHeight="1"/>
    <row r="592" spans="2:14" ht="14.25" customHeight="1">
      <c r="B592" s="143" t="s">
        <v>510</v>
      </c>
    </row>
    <row r="593" spans="2:14" ht="14.25" customHeight="1"/>
    <row r="594" spans="2:14" ht="14.25" customHeight="1">
      <c r="B594" s="157" t="s">
        <v>332</v>
      </c>
      <c r="E594" s="53">
        <f>IF('[1]基本 (1)'!D7=1,1,ROUND(3/('[1]基本 (1)'!D7+1),2))</f>
        <v>0.75</v>
      </c>
      <c r="F594" s="166" t="s">
        <v>342</v>
      </c>
      <c r="G594" s="154"/>
      <c r="H594" s="158"/>
      <c r="I594" s="157"/>
      <c r="J594" s="154"/>
      <c r="K594" s="159"/>
      <c r="L594" s="157"/>
      <c r="M594" s="160"/>
    </row>
    <row r="595" spans="2:14" ht="14.25" customHeight="1">
      <c r="I595" s="157"/>
      <c r="J595" s="155"/>
      <c r="K595" s="154"/>
      <c r="L595" s="155"/>
      <c r="M595" s="154"/>
      <c r="N595" s="155"/>
    </row>
    <row r="596" spans="2:14" ht="14.25" customHeight="1">
      <c r="B596" s="157" t="s">
        <v>511</v>
      </c>
    </row>
    <row r="597" spans="2:14" ht="14.25" customHeight="1">
      <c r="C597" s="154" t="s">
        <v>752</v>
      </c>
      <c r="D597" s="157" t="s">
        <v>512</v>
      </c>
    </row>
    <row r="598" spans="2:14" ht="14.25" customHeight="1">
      <c r="C598" s="154"/>
      <c r="D598" s="306"/>
      <c r="E598" s="154"/>
      <c r="F598" s="159"/>
    </row>
    <row r="599" spans="2:14" ht="14.25" customHeight="1">
      <c r="C599" s="154" t="s">
        <v>173</v>
      </c>
      <c r="D599" s="212">
        <f>D414</f>
        <v>1</v>
      </c>
      <c r="E599" s="154" t="s">
        <v>753</v>
      </c>
      <c r="F599" s="165">
        <f>D411</f>
        <v>1</v>
      </c>
    </row>
    <row r="600" spans="2:14" ht="14.25" customHeight="1"/>
    <row r="601" spans="2:14" ht="14.25" customHeight="1">
      <c r="C601" s="154" t="s">
        <v>34</v>
      </c>
      <c r="D601" s="212">
        <f>ROUND(D599*F599,2)</f>
        <v>1</v>
      </c>
      <c r="E601" s="157" t="s">
        <v>754</v>
      </c>
      <c r="F601" s="154"/>
      <c r="G601" s="158"/>
      <c r="H601" s="157"/>
      <c r="I601" s="154"/>
      <c r="J601" s="159"/>
      <c r="K601" s="157"/>
      <c r="L601" s="160"/>
    </row>
    <row r="602" spans="2:14" ht="14.25" customHeight="1"/>
    <row r="603" spans="2:14" ht="14.25" customHeight="1">
      <c r="B603" s="157" t="s">
        <v>334</v>
      </c>
    </row>
    <row r="604" spans="2:14" ht="14.25" customHeight="1">
      <c r="C604" s="154" t="s">
        <v>513</v>
      </c>
      <c r="D604" s="212">
        <f>D601</f>
        <v>1</v>
      </c>
      <c r="E604" s="154" t="s">
        <v>755</v>
      </c>
      <c r="F604" s="212">
        <f>E594</f>
        <v>0.75</v>
      </c>
    </row>
    <row r="605" spans="2:14" ht="14.25" customHeight="1"/>
    <row r="606" spans="2:14" ht="14.25" customHeight="1" thickBot="1">
      <c r="C606" s="154" t="s">
        <v>34</v>
      </c>
      <c r="D606" s="162">
        <f>ROUND(D604/F604,1)</f>
        <v>1.3</v>
      </c>
      <c r="E606" s="163" t="s">
        <v>156</v>
      </c>
    </row>
    <row r="607" spans="2:14" ht="14.25" customHeight="1"/>
    <row r="608" spans="2:14" ht="14.25" customHeight="1"/>
    <row r="609" spans="2:11" ht="14.25" hidden="1" customHeight="1">
      <c r="B609" s="143"/>
    </row>
    <row r="610" spans="2:11" ht="14.25" hidden="1" customHeight="1"/>
    <row r="611" spans="2:11" ht="14.25" hidden="1" customHeight="1">
      <c r="B611" s="157" t="s">
        <v>514</v>
      </c>
      <c r="E611" s="210"/>
      <c r="F611" s="157" t="s">
        <v>23</v>
      </c>
    </row>
    <row r="612" spans="2:11" ht="14.25" hidden="1" customHeight="1"/>
    <row r="613" spans="2:11" ht="14.25" hidden="1" customHeight="1">
      <c r="B613" s="157" t="s">
        <v>334</v>
      </c>
    </row>
    <row r="614" spans="2:11" ht="14.25" hidden="1" customHeight="1">
      <c r="B614" s="157"/>
      <c r="C614" s="210">
        <f>IF(D367&lt;10,1,IF(D367&lt;20,2,IF(D367&lt;30,3,5)))</f>
        <v>1</v>
      </c>
      <c r="D614" s="157" t="s">
        <v>515</v>
      </c>
      <c r="E614" s="154"/>
      <c r="F614" s="158"/>
      <c r="G614" s="157"/>
      <c r="H614" s="154"/>
      <c r="I614" s="159"/>
      <c r="J614" s="157"/>
      <c r="K614" s="160"/>
    </row>
    <row r="615" spans="2:11" ht="14.25" hidden="1" customHeight="1">
      <c r="B615" s="157"/>
      <c r="C615" s="166" t="s">
        <v>516</v>
      </c>
      <c r="D615" s="157"/>
      <c r="E615" s="154"/>
      <c r="F615" s="158"/>
      <c r="G615" s="157"/>
      <c r="H615" s="154"/>
      <c r="I615" s="159"/>
      <c r="J615" s="157"/>
      <c r="K615" s="160"/>
    </row>
    <row r="616" spans="2:11" ht="14.25" hidden="1" customHeight="1">
      <c r="B616" s="157"/>
      <c r="C616" s="155"/>
      <c r="D616" s="157"/>
      <c r="E616" s="154"/>
      <c r="F616" s="158"/>
      <c r="G616" s="157"/>
      <c r="H616" s="154"/>
      <c r="I616" s="159"/>
      <c r="J616" s="157"/>
      <c r="K616" s="160"/>
    </row>
    <row r="617" spans="2:11" ht="14.25" hidden="1" customHeight="1">
      <c r="C617" s="154"/>
      <c r="D617" s="210">
        <f>C614</f>
        <v>1</v>
      </c>
      <c r="E617" s="154" t="s">
        <v>177</v>
      </c>
      <c r="F617" s="210">
        <f>E611</f>
        <v>0</v>
      </c>
    </row>
    <row r="618" spans="2:11" ht="14.25" hidden="1" customHeight="1"/>
    <row r="619" spans="2:11" ht="14.25" hidden="1" customHeight="1">
      <c r="C619" s="154" t="s">
        <v>34</v>
      </c>
      <c r="D619" s="162">
        <f>ROUND(D617*F617,1)</f>
        <v>0</v>
      </c>
      <c r="E619" s="163" t="s">
        <v>156</v>
      </c>
    </row>
    <row r="620" spans="2:11" ht="14.25" hidden="1" customHeight="1"/>
    <row r="621" spans="2:11" ht="14.25" hidden="1" customHeight="1"/>
    <row r="622" spans="2:11" ht="14.25" hidden="1" customHeight="1">
      <c r="B622" s="143"/>
    </row>
    <row r="623" spans="2:11" ht="14.25" hidden="1" customHeight="1"/>
    <row r="624" spans="2:11" ht="14.25" hidden="1" customHeight="1">
      <c r="B624" s="157" t="s">
        <v>517</v>
      </c>
      <c r="E624" s="155" t="s">
        <v>496</v>
      </c>
      <c r="F624" s="210"/>
      <c r="G624" s="157" t="s">
        <v>23</v>
      </c>
    </row>
    <row r="625" spans="2:14" ht="14.25" hidden="1" customHeight="1"/>
    <row r="626" spans="2:14" ht="14.25" hidden="1" customHeight="1">
      <c r="B626" s="157" t="s">
        <v>518</v>
      </c>
      <c r="E626" s="155" t="s">
        <v>519</v>
      </c>
      <c r="F626" s="156"/>
      <c r="G626" s="141" t="s">
        <v>433</v>
      </c>
    </row>
    <row r="627" spans="2:14" ht="14.25" hidden="1" customHeight="1"/>
    <row r="628" spans="2:14" ht="14.25" hidden="1" customHeight="1">
      <c r="B628" s="157" t="s">
        <v>499</v>
      </c>
      <c r="F628" s="156">
        <f>F626</f>
        <v>0</v>
      </c>
      <c r="G628" s="155" t="s">
        <v>227</v>
      </c>
      <c r="H628" s="165">
        <f>F624</f>
        <v>0</v>
      </c>
      <c r="I628" s="155" t="s">
        <v>182</v>
      </c>
      <c r="J628" s="156" t="e">
        <f>ROUND(F628/H628,1)</f>
        <v>#DIV/0!</v>
      </c>
      <c r="K628" s="157" t="s">
        <v>358</v>
      </c>
      <c r="L628" s="155" t="s">
        <v>393</v>
      </c>
      <c r="M628" s="154" t="s">
        <v>500</v>
      </c>
      <c r="N628" s="156" t="e">
        <f>IF(J628&lt;=5,0.8,IF(J628&lt;=10,1,1.4))</f>
        <v>#DIV/0!</v>
      </c>
    </row>
    <row r="629" spans="2:14" ht="14.25" hidden="1" customHeight="1"/>
    <row r="630" spans="2:14" ht="14.25" hidden="1" customHeight="1">
      <c r="B630" s="141" t="s">
        <v>501</v>
      </c>
    </row>
    <row r="631" spans="2:14" ht="14.25" hidden="1" customHeight="1">
      <c r="C631" s="154" t="s">
        <v>502</v>
      </c>
      <c r="D631" s="166" t="s">
        <v>756</v>
      </c>
      <c r="I631" s="157" t="s">
        <v>757</v>
      </c>
      <c r="J631" s="155"/>
      <c r="K631" s="154" t="s">
        <v>503</v>
      </c>
      <c r="L631" s="155" t="s">
        <v>504</v>
      </c>
      <c r="M631" s="154" t="s">
        <v>503</v>
      </c>
      <c r="N631" s="155"/>
    </row>
    <row r="632" spans="2:14" ht="14.25" hidden="1" customHeight="1"/>
    <row r="633" spans="2:14" ht="14.25" hidden="1" customHeight="1">
      <c r="C633" s="155" t="s">
        <v>182</v>
      </c>
      <c r="D633" s="156">
        <f>F626</f>
        <v>0</v>
      </c>
      <c r="E633" s="154" t="s">
        <v>758</v>
      </c>
      <c r="F633" s="154">
        <v>0.27</v>
      </c>
      <c r="G633" s="154" t="s">
        <v>177</v>
      </c>
      <c r="H633" s="156" t="e">
        <f>N628</f>
        <v>#DIV/0!</v>
      </c>
      <c r="I633" s="154" t="s">
        <v>521</v>
      </c>
      <c r="J633" s="210">
        <f>F624</f>
        <v>0</v>
      </c>
      <c r="K633" s="154" t="s">
        <v>245</v>
      </c>
      <c r="L633" s="155">
        <v>11</v>
      </c>
      <c r="M633" s="157" t="s">
        <v>522</v>
      </c>
    </row>
    <row r="634" spans="2:14" ht="14.25" hidden="1" customHeight="1"/>
    <row r="635" spans="2:14" ht="14.25" hidden="1" customHeight="1">
      <c r="C635" s="155" t="s">
        <v>182</v>
      </c>
      <c r="D635" s="156" t="e">
        <f>ROUND(D633/(F633*H633*(J633+L633)),1)</f>
        <v>#DIV/0!</v>
      </c>
      <c r="E635" s="157" t="s">
        <v>523</v>
      </c>
      <c r="F635" s="154"/>
      <c r="G635" s="158"/>
      <c r="H635" s="157"/>
      <c r="I635" s="154"/>
      <c r="J635" s="158"/>
      <c r="K635" s="157"/>
      <c r="L635" s="160"/>
      <c r="M635" s="155"/>
    </row>
    <row r="636" spans="2:14" ht="14.25" hidden="1" customHeight="1"/>
    <row r="637" spans="2:14" ht="14.25" hidden="1" customHeight="1">
      <c r="B637" s="141" t="s">
        <v>249</v>
      </c>
    </row>
    <row r="638" spans="2:14" ht="14.25" hidden="1" customHeight="1">
      <c r="C638" s="154"/>
      <c r="D638" s="157" t="s">
        <v>524</v>
      </c>
    </row>
    <row r="639" spans="2:14" ht="14.25" hidden="1" customHeight="1"/>
    <row r="640" spans="2:14" ht="14.25" hidden="1" customHeight="1">
      <c r="C640" s="155" t="s">
        <v>182</v>
      </c>
      <c r="D640" s="156">
        <f>F626</f>
        <v>0</v>
      </c>
      <c r="E640" s="155" t="s">
        <v>227</v>
      </c>
      <c r="F640" s="156" t="e">
        <f>D635</f>
        <v>#DIV/0!</v>
      </c>
    </row>
    <row r="641" spans="2:12" ht="14.25" hidden="1" customHeight="1"/>
    <row r="642" spans="2:12" ht="14.25" hidden="1" customHeight="1">
      <c r="C642" s="155" t="s">
        <v>182</v>
      </c>
      <c r="D642" s="188" t="e">
        <f>ROUND(D640/F640,1)</f>
        <v>#DIV/0!</v>
      </c>
      <c r="E642" s="206" t="s">
        <v>183</v>
      </c>
    </row>
    <row r="643" spans="2:12" ht="14.25" hidden="1" customHeight="1"/>
    <row r="644" spans="2:12" ht="14.25" hidden="1" customHeight="1"/>
    <row r="645" spans="2:12" ht="14.25" customHeight="1">
      <c r="B645" s="142" t="s">
        <v>525</v>
      </c>
    </row>
    <row r="646" spans="2:12" ht="14.25" customHeight="1"/>
    <row r="647" spans="2:12" ht="14.25" customHeight="1">
      <c r="B647" s="157" t="s">
        <v>526</v>
      </c>
      <c r="E647" s="154" t="s">
        <v>759</v>
      </c>
      <c r="F647" s="157" t="s">
        <v>527</v>
      </c>
    </row>
    <row r="648" spans="2:12" ht="14.25" customHeight="1">
      <c r="B648" s="157"/>
      <c r="E648" s="154"/>
      <c r="F648" s="158"/>
      <c r="G648" s="157"/>
    </row>
    <row r="649" spans="2:12" ht="14.25" customHeight="1">
      <c r="B649" s="157"/>
      <c r="E649" s="120" t="s">
        <v>295</v>
      </c>
      <c r="F649" s="212">
        <f>'[1]基本 (1)'!L12</f>
        <v>0.75</v>
      </c>
      <c r="G649" s="154" t="s">
        <v>76</v>
      </c>
      <c r="H649" s="212">
        <f>'[1]基本 (1)'!H12</f>
        <v>3</v>
      </c>
      <c r="I649" s="155" t="s">
        <v>76</v>
      </c>
      <c r="J649" s="212">
        <f>'[1]基本 (1)'!L12</f>
        <v>0.75</v>
      </c>
      <c r="K649" s="155" t="s">
        <v>186</v>
      </c>
      <c r="L649" s="210">
        <f>'[1]基本 (1)'!K16</f>
        <v>26</v>
      </c>
    </row>
    <row r="650" spans="2:12" ht="14.25" customHeight="1">
      <c r="B650" s="157"/>
      <c r="E650" s="154"/>
      <c r="F650" s="158"/>
      <c r="G650" s="157"/>
    </row>
    <row r="651" spans="2:12" ht="14.25" customHeight="1">
      <c r="B651" s="157"/>
      <c r="E651" s="154" t="s">
        <v>212</v>
      </c>
      <c r="F651" s="156">
        <f>(F649+H649+J649)*L649</f>
        <v>117</v>
      </c>
      <c r="G651" s="157" t="s">
        <v>341</v>
      </c>
      <c r="H651" s="154" t="s">
        <v>537</v>
      </c>
      <c r="I651" s="154" t="s">
        <v>760</v>
      </c>
      <c r="J651" s="307" t="s">
        <v>761</v>
      </c>
    </row>
    <row r="652" spans="2:12" ht="14.25" customHeight="1">
      <c r="B652" s="157"/>
      <c r="E652" s="154"/>
      <c r="F652" s="158"/>
      <c r="G652" s="157"/>
      <c r="I652" s="308" t="s">
        <v>528</v>
      </c>
      <c r="J652" s="207">
        <f>ROUND(F651^0.1221,3)</f>
        <v>1.7889999999999999</v>
      </c>
      <c r="K652" s="157" t="s">
        <v>529</v>
      </c>
    </row>
    <row r="653" spans="2:12" ht="14.25" customHeight="1">
      <c r="B653" s="157" t="s">
        <v>530</v>
      </c>
      <c r="E653" s="154" t="s">
        <v>762</v>
      </c>
      <c r="F653" s="210">
        <f>'[1]基本 (1)'!K16</f>
        <v>26</v>
      </c>
    </row>
    <row r="654" spans="2:12" ht="14.25" customHeight="1"/>
    <row r="655" spans="2:12" ht="14.25" customHeight="1">
      <c r="B655" s="157" t="s">
        <v>531</v>
      </c>
    </row>
    <row r="656" spans="2:12" ht="14.25" customHeight="1"/>
    <row r="657" spans="2:11" ht="14.25" customHeight="1">
      <c r="C657" s="309"/>
      <c r="D657" s="309"/>
      <c r="E657" s="310" t="s">
        <v>532</v>
      </c>
      <c r="F657" s="311"/>
      <c r="G657" s="312" t="s">
        <v>533</v>
      </c>
      <c r="H657" s="313"/>
    </row>
    <row r="658" spans="2:11" ht="14.25" customHeight="1">
      <c r="C658" s="266" t="s">
        <v>534</v>
      </c>
      <c r="D658" s="266"/>
      <c r="E658" s="314">
        <f>'[1]基本 (1)'!L12*1000</f>
        <v>750</v>
      </c>
      <c r="F658" s="314"/>
      <c r="G658" s="315">
        <v>35</v>
      </c>
      <c r="H658" s="316"/>
    </row>
    <row r="659" spans="2:11" ht="14.25" customHeight="1">
      <c r="C659" s="266" t="s">
        <v>535</v>
      </c>
      <c r="D659" s="266"/>
      <c r="E659" s="314">
        <f>'[1]基本 (1)'!H12*1000</f>
        <v>3000</v>
      </c>
      <c r="F659" s="314"/>
      <c r="G659" s="315">
        <v>16</v>
      </c>
      <c r="H659" s="316"/>
    </row>
    <row r="660" spans="2:11" ht="14.25" customHeight="1">
      <c r="C660" s="251" t="s">
        <v>536</v>
      </c>
      <c r="D660" s="309"/>
      <c r="E660" s="314">
        <f>'[1]基本 (1)'!L12*1000</f>
        <v>750</v>
      </c>
      <c r="F660" s="314"/>
      <c r="G660" s="315">
        <v>40</v>
      </c>
      <c r="H660" s="316"/>
    </row>
    <row r="661" spans="2:11" ht="14.25" customHeight="1">
      <c r="C661" s="154"/>
      <c r="E661" s="157"/>
      <c r="F661" s="154"/>
      <c r="G661" s="154"/>
    </row>
    <row r="662" spans="2:11" ht="14.25" customHeight="1">
      <c r="C662" s="154" t="s">
        <v>763</v>
      </c>
      <c r="D662" s="212">
        <f>ROUND(((E658*G658+E659*G659+E660*G660)*F651)/((E658+E659+E660)*F651),2)</f>
        <v>23.17</v>
      </c>
      <c r="E662" s="157" t="s">
        <v>347</v>
      </c>
      <c r="F662" s="154" t="s">
        <v>28</v>
      </c>
      <c r="G662" s="154" t="s">
        <v>538</v>
      </c>
      <c r="H662" s="307" t="s">
        <v>764</v>
      </c>
    </row>
    <row r="663" spans="2:11" ht="14.25" customHeight="1">
      <c r="G663" s="308" t="s">
        <v>765</v>
      </c>
      <c r="H663" s="207">
        <f>ROUND(-0.0044*D662+1.132,3)</f>
        <v>1.03</v>
      </c>
      <c r="I663" s="157" t="s">
        <v>539</v>
      </c>
    </row>
    <row r="664" spans="2:11" ht="14.25" customHeight="1">
      <c r="B664" s="157" t="s">
        <v>540</v>
      </c>
    </row>
    <row r="665" spans="2:11" ht="14.25" customHeight="1">
      <c r="C665" s="154" t="s">
        <v>541</v>
      </c>
      <c r="D665" s="141" t="s">
        <v>542</v>
      </c>
      <c r="E665" s="154"/>
      <c r="F665" s="154"/>
      <c r="G665" s="154"/>
      <c r="H665" s="155"/>
    </row>
    <row r="666" spans="2:11" ht="14.25" customHeight="1">
      <c r="C666" s="154"/>
      <c r="E666" s="154"/>
      <c r="F666" s="154"/>
      <c r="G666" s="154"/>
      <c r="H666" s="155"/>
    </row>
    <row r="667" spans="2:11" ht="14.25" customHeight="1">
      <c r="C667" s="154" t="s">
        <v>34</v>
      </c>
      <c r="D667" s="155">
        <v>2.13</v>
      </c>
      <c r="E667" s="154" t="s">
        <v>177</v>
      </c>
      <c r="F667" s="317">
        <f>J652</f>
        <v>1.7889999999999999</v>
      </c>
      <c r="G667" s="154" t="s">
        <v>177</v>
      </c>
      <c r="H667" s="317">
        <f>H663</f>
        <v>1.03</v>
      </c>
    </row>
    <row r="668" spans="2:11" ht="14.25" customHeight="1"/>
    <row r="669" spans="2:11" ht="14.25" customHeight="1">
      <c r="C669" s="154" t="s">
        <v>34</v>
      </c>
      <c r="D669" s="156">
        <f>ROUND(D667*F667*H667,1)</f>
        <v>3.9</v>
      </c>
      <c r="E669" s="261" t="s">
        <v>543</v>
      </c>
      <c r="F669" s="154"/>
      <c r="G669" s="158"/>
      <c r="H669" s="157"/>
      <c r="I669" s="154"/>
      <c r="J669" s="159"/>
      <c r="K669" s="157"/>
    </row>
    <row r="670" spans="2:11" ht="14.25" customHeight="1"/>
    <row r="671" spans="2:11" ht="14.25" customHeight="1">
      <c r="B671" s="157" t="s">
        <v>334</v>
      </c>
    </row>
    <row r="672" spans="2:11" ht="14.25" customHeight="1">
      <c r="C672" s="154" t="s">
        <v>544</v>
      </c>
      <c r="D672" s="157" t="s">
        <v>766</v>
      </c>
    </row>
    <row r="673" spans="2:12" ht="14.25" customHeight="1"/>
    <row r="674" spans="2:12" ht="14.25" customHeight="1">
      <c r="C674" s="154" t="s">
        <v>34</v>
      </c>
      <c r="D674" s="156">
        <f>F651</f>
        <v>117</v>
      </c>
      <c r="E674" s="154" t="s">
        <v>267</v>
      </c>
      <c r="F674" s="156">
        <f>D669</f>
        <v>3.9</v>
      </c>
    </row>
    <row r="675" spans="2:12" ht="14.25" customHeight="1"/>
    <row r="676" spans="2:12" ht="14.25" customHeight="1" thickBot="1">
      <c r="C676" s="154" t="s">
        <v>34</v>
      </c>
      <c r="D676" s="188">
        <f>ROUND(D674/F674,1)</f>
        <v>30</v>
      </c>
      <c r="E676" s="163" t="s">
        <v>156</v>
      </c>
    </row>
    <row r="677" spans="2:12" ht="14.25" customHeight="1"/>
    <row r="678" spans="2:12" ht="14.25" customHeight="1"/>
    <row r="679" spans="2:12" ht="14.25" customHeight="1">
      <c r="B679" s="142" t="s">
        <v>545</v>
      </c>
    </row>
    <row r="680" spans="2:12" ht="14.25" customHeight="1"/>
    <row r="681" spans="2:12" ht="14.25" customHeight="1">
      <c r="B681" s="157" t="s">
        <v>540</v>
      </c>
    </row>
    <row r="682" spans="2:12" ht="14.25" customHeight="1">
      <c r="C682" s="154" t="s">
        <v>546</v>
      </c>
      <c r="D682" s="155">
        <v>2</v>
      </c>
      <c r="E682" s="261" t="s">
        <v>547</v>
      </c>
      <c r="F682" s="154"/>
      <c r="G682" s="158"/>
      <c r="H682" s="261"/>
      <c r="I682" s="154"/>
      <c r="J682" s="159"/>
      <c r="K682" s="157"/>
      <c r="L682" s="160"/>
    </row>
    <row r="683" spans="2:12" ht="14.25" customHeight="1"/>
    <row r="684" spans="2:12" ht="14.25" customHeight="1">
      <c r="B684" s="157" t="s">
        <v>334</v>
      </c>
    </row>
    <row r="685" spans="2:12" ht="14.25" customHeight="1">
      <c r="C685" s="154" t="s">
        <v>548</v>
      </c>
      <c r="D685" s="157" t="s">
        <v>767</v>
      </c>
    </row>
    <row r="686" spans="2:12" ht="14.25" customHeight="1">
      <c r="C686" s="154"/>
      <c r="D686" s="157"/>
    </row>
    <row r="687" spans="2:12" ht="14.25" customHeight="1">
      <c r="C687" s="154" t="s">
        <v>34</v>
      </c>
      <c r="D687" s="239">
        <f>F653</f>
        <v>26</v>
      </c>
      <c r="E687" s="154" t="s">
        <v>768</v>
      </c>
      <c r="F687" s="210">
        <f>D682</f>
        <v>2</v>
      </c>
    </row>
    <row r="688" spans="2:12" ht="14.25" customHeight="1">
      <c r="C688" s="154"/>
      <c r="D688" s="157"/>
    </row>
    <row r="689" spans="2:15" ht="14.25" customHeight="1" thickBot="1">
      <c r="C689" s="154" t="s">
        <v>769</v>
      </c>
      <c r="D689" s="58">
        <f>ROUND(D687/F687,1)</f>
        <v>13</v>
      </c>
      <c r="E689" s="163" t="s">
        <v>156</v>
      </c>
    </row>
    <row r="690" spans="2:15" ht="14.25" customHeight="1">
      <c r="B690" s="157"/>
    </row>
    <row r="691" spans="2:15" ht="14.25" customHeight="1"/>
    <row r="692" spans="2:15" ht="14.25" customHeight="1">
      <c r="B692" s="142" t="s">
        <v>549</v>
      </c>
    </row>
    <row r="693" spans="2:15" ht="14.25" customHeight="1"/>
    <row r="694" spans="2:15" ht="14.25" customHeight="1">
      <c r="B694" s="141" t="s">
        <v>550</v>
      </c>
      <c r="E694" s="166" t="s">
        <v>421</v>
      </c>
      <c r="I694" s="210">
        <f>'[1]基本 (1)'!D16/('[1]基本 (1)'!D7+1)*2</f>
        <v>4</v>
      </c>
      <c r="J694" s="141" t="s">
        <v>551</v>
      </c>
    </row>
    <row r="695" spans="2:15" ht="14.25" customHeight="1">
      <c r="E695" s="166" t="s">
        <v>422</v>
      </c>
      <c r="I695" s="210">
        <f>'[1]基本 (1)'!D16-I694</f>
        <v>4</v>
      </c>
      <c r="J695" s="141" t="s">
        <v>551</v>
      </c>
    </row>
    <row r="696" spans="2:15" ht="14.25" customHeight="1"/>
    <row r="697" spans="2:15" ht="14.25" customHeight="1">
      <c r="B697" s="157" t="s">
        <v>552</v>
      </c>
      <c r="F697" s="318">
        <v>1</v>
      </c>
      <c r="G697" s="157" t="s">
        <v>358</v>
      </c>
      <c r="H697" s="263"/>
      <c r="I697" s="168"/>
      <c r="J697" s="319"/>
      <c r="K697" s="157" t="s">
        <v>770</v>
      </c>
    </row>
    <row r="698" spans="2:15" ht="14.25" customHeight="1">
      <c r="H698" s="263"/>
      <c r="I698" s="263"/>
      <c r="J698" s="319"/>
      <c r="K698" s="157" t="s">
        <v>771</v>
      </c>
    </row>
    <row r="699" spans="2:15" ht="14.25" customHeight="1"/>
    <row r="700" spans="2:15" ht="14.25" customHeight="1">
      <c r="B700" s="141" t="s">
        <v>772</v>
      </c>
    </row>
    <row r="701" spans="2:15" ht="14.25" customHeight="1">
      <c r="C701" s="157" t="s">
        <v>553</v>
      </c>
      <c r="E701" s="154" t="s">
        <v>773</v>
      </c>
      <c r="F701" s="260" t="s">
        <v>554</v>
      </c>
      <c r="G701" s="260"/>
      <c r="H701" s="154"/>
      <c r="I701" s="158"/>
      <c r="J701" s="157"/>
      <c r="K701" s="154"/>
      <c r="L701" s="159"/>
      <c r="M701" s="157"/>
      <c r="N701" s="160"/>
    </row>
    <row r="702" spans="2:15" ht="14.25" customHeight="1"/>
    <row r="703" spans="2:15" ht="14.25" customHeight="1">
      <c r="E703" s="154" t="s">
        <v>34</v>
      </c>
      <c r="F703" s="155">
        <v>1</v>
      </c>
      <c r="G703" s="154" t="s">
        <v>266</v>
      </c>
      <c r="H703" s="262">
        <v>0.124</v>
      </c>
      <c r="I703" s="154" t="s">
        <v>774</v>
      </c>
      <c r="J703" s="156">
        <f>F697</f>
        <v>1</v>
      </c>
      <c r="K703" s="154" t="s">
        <v>245</v>
      </c>
      <c r="L703" s="262">
        <v>0.29599999999999999</v>
      </c>
      <c r="M703" s="168" t="s">
        <v>261</v>
      </c>
      <c r="N703" s="263"/>
      <c r="O703" s="168"/>
    </row>
    <row r="704" spans="2:15" ht="14.25" customHeight="1"/>
    <row r="705" spans="2:15" ht="14.25" customHeight="1">
      <c r="E705" s="154" t="s">
        <v>34</v>
      </c>
      <c r="F705" s="156">
        <f>ROUND(F703/(H703*J703+L703),1)</f>
        <v>2.4</v>
      </c>
      <c r="G705" s="157" t="s">
        <v>555</v>
      </c>
      <c r="H705" s="154"/>
      <c r="I705" s="158"/>
      <c r="J705" s="157"/>
      <c r="K705" s="154"/>
      <c r="L705" s="159"/>
      <c r="M705" s="157"/>
    </row>
    <row r="706" spans="2:15" ht="14.25" customHeight="1"/>
    <row r="707" spans="2:15" ht="14.25" customHeight="1">
      <c r="C707" s="157" t="s">
        <v>556</v>
      </c>
      <c r="E707" s="154" t="s">
        <v>773</v>
      </c>
      <c r="F707" s="260" t="s">
        <v>557</v>
      </c>
      <c r="G707" s="260"/>
      <c r="H707" s="154"/>
      <c r="I707" s="158"/>
      <c r="J707" s="157"/>
      <c r="K707" s="154"/>
      <c r="L707" s="159"/>
      <c r="M707" s="157"/>
      <c r="N707" s="160"/>
    </row>
    <row r="708" spans="2:15" ht="14.25" customHeight="1"/>
    <row r="709" spans="2:15" ht="14.25" customHeight="1">
      <c r="E709" s="154" t="s">
        <v>34</v>
      </c>
      <c r="F709" s="159">
        <v>1</v>
      </c>
      <c r="G709" s="154" t="s">
        <v>775</v>
      </c>
      <c r="H709" s="262">
        <v>0.14899999999999999</v>
      </c>
      <c r="I709" s="154" t="s">
        <v>254</v>
      </c>
      <c r="J709" s="156">
        <f>F697</f>
        <v>1</v>
      </c>
      <c r="K709" s="154" t="s">
        <v>300</v>
      </c>
      <c r="L709" s="262">
        <v>0.29599999999999999</v>
      </c>
      <c r="M709" s="168" t="s">
        <v>311</v>
      </c>
      <c r="N709" s="263"/>
      <c r="O709" s="168"/>
    </row>
    <row r="710" spans="2:15" ht="14.25" customHeight="1"/>
    <row r="711" spans="2:15" ht="14.25" customHeight="1">
      <c r="E711" s="154" t="s">
        <v>34</v>
      </c>
      <c r="F711" s="156">
        <f>ROUND(F709/(H709*J709+L709),1)</f>
        <v>2.2000000000000002</v>
      </c>
      <c r="G711" s="157" t="s">
        <v>555</v>
      </c>
      <c r="H711" s="154"/>
      <c r="I711" s="158"/>
      <c r="J711" s="157"/>
      <c r="K711" s="154"/>
      <c r="L711" s="159"/>
      <c r="M711" s="157"/>
    </row>
    <row r="712" spans="2:15" ht="14.25" customHeight="1"/>
    <row r="713" spans="2:15" ht="14.25" customHeight="1">
      <c r="B713" s="141" t="s">
        <v>249</v>
      </c>
    </row>
    <row r="714" spans="2:15" ht="14.25" customHeight="1">
      <c r="C714" s="155" t="s">
        <v>558</v>
      </c>
      <c r="D714" s="157" t="s">
        <v>559</v>
      </c>
    </row>
    <row r="715" spans="2:15" ht="14.25" customHeight="1"/>
    <row r="716" spans="2:15" ht="14.25" customHeight="1">
      <c r="C716" s="155" t="s">
        <v>182</v>
      </c>
      <c r="D716" s="165">
        <f>I694</f>
        <v>4</v>
      </c>
      <c r="E716" s="155" t="s">
        <v>227</v>
      </c>
      <c r="F716" s="156">
        <f>F705</f>
        <v>2.4</v>
      </c>
      <c r="G716" s="155" t="s">
        <v>76</v>
      </c>
      <c r="H716" s="165">
        <f>I695</f>
        <v>4</v>
      </c>
      <c r="I716" s="155" t="s">
        <v>227</v>
      </c>
      <c r="J716" s="156">
        <f>F711</f>
        <v>2.2000000000000002</v>
      </c>
    </row>
    <row r="717" spans="2:15" ht="14.25" customHeight="1"/>
    <row r="718" spans="2:15" ht="14.25" customHeight="1" thickBot="1">
      <c r="C718" s="155" t="s">
        <v>182</v>
      </c>
      <c r="D718" s="162">
        <f>ROUND(D716/F716+H716/J716,1)</f>
        <v>3.5</v>
      </c>
      <c r="E718" s="206" t="s">
        <v>183</v>
      </c>
    </row>
    <row r="719" spans="2:15" ht="14.25" customHeight="1"/>
    <row r="720" spans="2:15" ht="14.25" customHeight="1"/>
    <row r="721" spans="2:13" ht="14.25" customHeight="1">
      <c r="B721" s="142" t="s">
        <v>560</v>
      </c>
    </row>
    <row r="722" spans="2:13" ht="14.25" customHeight="1"/>
    <row r="723" spans="2:13" ht="14.25" customHeight="1">
      <c r="B723" s="141" t="s">
        <v>561</v>
      </c>
      <c r="F723" s="155" t="s">
        <v>562</v>
      </c>
      <c r="G723" s="210">
        <f>'[1]基本 (1)'!I39</f>
        <v>21240</v>
      </c>
      <c r="H723" s="141" t="s">
        <v>15</v>
      </c>
    </row>
    <row r="724" spans="2:13" ht="14.25" customHeight="1"/>
    <row r="725" spans="2:13" ht="14.25" customHeight="1">
      <c r="B725" s="141" t="s">
        <v>246</v>
      </c>
    </row>
    <row r="726" spans="2:13" ht="14.25" customHeight="1">
      <c r="C726" s="157" t="s">
        <v>776</v>
      </c>
      <c r="D726" s="157" t="s">
        <v>777</v>
      </c>
    </row>
    <row r="727" spans="2:13" ht="14.25" customHeight="1"/>
    <row r="728" spans="2:13" ht="14.25" customHeight="1">
      <c r="C728" s="155" t="s">
        <v>182</v>
      </c>
      <c r="D728" s="210">
        <f>G723</f>
        <v>21240</v>
      </c>
      <c r="E728" s="154" t="s">
        <v>266</v>
      </c>
      <c r="F728" s="155">
        <v>0.41</v>
      </c>
      <c r="G728" s="154" t="s">
        <v>177</v>
      </c>
      <c r="H728" s="239">
        <f>G723</f>
        <v>21240</v>
      </c>
      <c r="I728" s="154" t="s">
        <v>267</v>
      </c>
      <c r="J728" s="155">
        <v>1000</v>
      </c>
      <c r="K728" s="154" t="s">
        <v>245</v>
      </c>
      <c r="L728" s="155">
        <v>2.13</v>
      </c>
      <c r="M728" s="157" t="s">
        <v>261</v>
      </c>
    </row>
    <row r="729" spans="2:13" ht="14.25" customHeight="1"/>
    <row r="730" spans="2:13" ht="14.25" customHeight="1">
      <c r="C730" s="155" t="s">
        <v>182</v>
      </c>
      <c r="D730" s="210">
        <f>ROUND(D728/(F728*H728/J728+L728),-1)</f>
        <v>1960</v>
      </c>
      <c r="E730" s="141" t="s">
        <v>563</v>
      </c>
      <c r="F730" s="154" t="s">
        <v>393</v>
      </c>
      <c r="G730" s="159">
        <v>1670</v>
      </c>
      <c r="H730" s="141" t="s">
        <v>564</v>
      </c>
      <c r="I730" s="154"/>
      <c r="J730" s="159"/>
      <c r="K730" s="157"/>
    </row>
    <row r="731" spans="2:13" ht="14.25" customHeight="1"/>
    <row r="732" spans="2:13" ht="14.25" customHeight="1">
      <c r="B732" s="141" t="s">
        <v>249</v>
      </c>
    </row>
    <row r="733" spans="2:13" ht="14.25" customHeight="1">
      <c r="C733" s="155" t="s">
        <v>565</v>
      </c>
      <c r="D733" s="157" t="s">
        <v>778</v>
      </c>
    </row>
    <row r="734" spans="2:13" ht="14.25" customHeight="1"/>
    <row r="735" spans="2:13" ht="14.25" customHeight="1">
      <c r="C735" s="155" t="s">
        <v>182</v>
      </c>
      <c r="D735" s="210">
        <f>G723</f>
        <v>21240</v>
      </c>
      <c r="E735" s="155" t="s">
        <v>227</v>
      </c>
      <c r="F735" s="165">
        <f>G730</f>
        <v>1670</v>
      </c>
    </row>
    <row r="736" spans="2:13" ht="14.25" customHeight="1"/>
    <row r="737" spans="2:12" ht="14.25" customHeight="1" thickBot="1">
      <c r="C737" s="155" t="s">
        <v>182</v>
      </c>
      <c r="D737" s="188">
        <f>ROUND(D735/F735,1)</f>
        <v>12.7</v>
      </c>
      <c r="E737" s="206" t="s">
        <v>183</v>
      </c>
    </row>
    <row r="738" spans="2:12" ht="14.25" customHeight="1"/>
    <row r="739" spans="2:12" ht="14.25" customHeight="1"/>
    <row r="740" spans="2:12" ht="14.25" customHeight="1">
      <c r="B740" s="142" t="s">
        <v>566</v>
      </c>
    </row>
    <row r="741" spans="2:12" ht="14.25" customHeight="1"/>
    <row r="742" spans="2:12" ht="14.25" customHeight="1">
      <c r="B742" s="141" t="s">
        <v>567</v>
      </c>
      <c r="F742" s="155" t="s">
        <v>568</v>
      </c>
      <c r="G742" s="210">
        <f>'[1]基本 (1)'!J33</f>
        <v>4</v>
      </c>
      <c r="H742" s="141" t="s">
        <v>53</v>
      </c>
    </row>
    <row r="743" spans="2:12" ht="14.25" customHeight="1"/>
    <row r="744" spans="2:12" ht="14.25" customHeight="1">
      <c r="B744" s="141" t="s">
        <v>246</v>
      </c>
    </row>
    <row r="745" spans="2:12" ht="14.25" customHeight="1">
      <c r="C745" s="157" t="s">
        <v>569</v>
      </c>
      <c r="D745" s="155">
        <v>4</v>
      </c>
      <c r="E745" s="141" t="s">
        <v>570</v>
      </c>
      <c r="F745" s="154"/>
      <c r="G745" s="158"/>
      <c r="I745" s="154"/>
      <c r="J745" s="159"/>
      <c r="K745" s="157"/>
      <c r="L745" s="160"/>
    </row>
    <row r="746" spans="2:12" ht="14.25" customHeight="1"/>
    <row r="747" spans="2:12" ht="14.25" customHeight="1">
      <c r="B747" s="141" t="s">
        <v>249</v>
      </c>
    </row>
    <row r="748" spans="2:12" ht="14.25" customHeight="1">
      <c r="C748" s="155" t="s">
        <v>568</v>
      </c>
      <c r="D748" s="157" t="s">
        <v>571</v>
      </c>
    </row>
    <row r="749" spans="2:12" ht="14.25" customHeight="1"/>
    <row r="750" spans="2:12" ht="14.25" customHeight="1">
      <c r="C750" s="155" t="s">
        <v>182</v>
      </c>
      <c r="D750" s="210">
        <f>G742</f>
        <v>4</v>
      </c>
      <c r="E750" s="155" t="s">
        <v>227</v>
      </c>
      <c r="F750" s="210">
        <f>D745</f>
        <v>4</v>
      </c>
    </row>
    <row r="751" spans="2:12" ht="14.25" customHeight="1"/>
    <row r="752" spans="2:12" ht="14.25" customHeight="1" thickBot="1">
      <c r="C752" s="155" t="s">
        <v>182</v>
      </c>
      <c r="D752" s="162">
        <f>ROUND(D750/F750,1)</f>
        <v>1</v>
      </c>
      <c r="E752" s="206" t="s">
        <v>183</v>
      </c>
    </row>
    <row r="753" spans="2:12" ht="14.25" customHeight="1"/>
    <row r="754" spans="2:12" ht="14.25" customHeight="1"/>
    <row r="755" spans="2:12" ht="14.25" customHeight="1">
      <c r="B755" s="142" t="s">
        <v>572</v>
      </c>
    </row>
    <row r="756" spans="2:12" ht="14.25" customHeight="1">
      <c r="B756" s="142"/>
    </row>
    <row r="757" spans="2:12" ht="14.25" customHeight="1">
      <c r="B757" s="143" t="s">
        <v>573</v>
      </c>
    </row>
    <row r="758" spans="2:12" ht="14.25" customHeight="1"/>
    <row r="759" spans="2:12" ht="14.25" customHeight="1">
      <c r="B759" s="141" t="s">
        <v>574</v>
      </c>
    </row>
    <row r="760" spans="2:12" ht="14.25" customHeight="1">
      <c r="C760" s="157" t="s">
        <v>575</v>
      </c>
      <c r="J760" s="155" t="s">
        <v>16</v>
      </c>
      <c r="K760" s="156">
        <f>'[1]基本 (1)'!H12</f>
        <v>3</v>
      </c>
      <c r="L760" s="157" t="s">
        <v>341</v>
      </c>
    </row>
    <row r="761" spans="2:12" ht="14.25" customHeight="1"/>
    <row r="762" spans="2:12" ht="14.25" customHeight="1">
      <c r="C762" s="157" t="str">
        <f>IF(K760&gt;=1.5,"・架設足場＝主体足場＋中段足場＋安全通路＋部分作業床","・架設足場＝主体足場＋安全通路＋部分作業床")</f>
        <v>・架設足場＝主体足場＋中段足場＋安全通路＋部分作業床</v>
      </c>
    </row>
    <row r="763" spans="2:12" ht="14.25" customHeight="1"/>
    <row r="764" spans="2:12" ht="14.25" customHeight="1">
      <c r="B764" s="141" t="s">
        <v>576</v>
      </c>
    </row>
    <row r="765" spans="2:12" ht="14.25" customHeight="1">
      <c r="C765" s="141" t="s">
        <v>779</v>
      </c>
    </row>
    <row r="766" spans="2:12" ht="14.25" customHeight="1"/>
    <row r="767" spans="2:12" ht="14.25" customHeight="1">
      <c r="C767" s="157" t="s">
        <v>577</v>
      </c>
    </row>
    <row r="768" spans="2:12" ht="14.25" customHeight="1"/>
    <row r="769" spans="2:21" ht="14.25" customHeight="1">
      <c r="C769" s="157" t="s">
        <v>578</v>
      </c>
      <c r="E769" s="155" t="s">
        <v>579</v>
      </c>
      <c r="F769" s="218" t="s">
        <v>580</v>
      </c>
      <c r="G769" s="218"/>
      <c r="H769" s="155" t="s">
        <v>182</v>
      </c>
      <c r="I769" s="210">
        <f>'[1]基本 (1)'!D10</f>
        <v>15</v>
      </c>
      <c r="J769" s="154" t="s">
        <v>254</v>
      </c>
      <c r="K769" s="210">
        <f>'[1]基本 (1)'!N7</f>
        <v>151.4</v>
      </c>
      <c r="L769" s="154" t="s">
        <v>769</v>
      </c>
      <c r="M769" s="320">
        <f>ROUND(I769*K769,0)</f>
        <v>2271</v>
      </c>
      <c r="N769" s="157" t="s">
        <v>625</v>
      </c>
    </row>
    <row r="770" spans="2:21" ht="14.25" customHeight="1"/>
    <row r="771" spans="2:21" ht="14.25" customHeight="1">
      <c r="B771" s="141" t="s">
        <v>581</v>
      </c>
    </row>
    <row r="772" spans="2:21" ht="14.25" customHeight="1">
      <c r="C772" s="141" t="s">
        <v>582</v>
      </c>
      <c r="S772" s="321"/>
    </row>
    <row r="773" spans="2:21" ht="14.25" customHeight="1">
      <c r="D773" s="322" t="s">
        <v>583</v>
      </c>
      <c r="E773" s="323" t="s">
        <v>584</v>
      </c>
      <c r="F773" s="323"/>
      <c r="G773" s="322" t="s">
        <v>34</v>
      </c>
      <c r="H773" s="324">
        <f>$M$769</f>
        <v>2271</v>
      </c>
      <c r="I773" s="229" t="s">
        <v>521</v>
      </c>
      <c r="J773" s="325">
        <v>5.5E-2</v>
      </c>
      <c r="K773" s="229" t="s">
        <v>245</v>
      </c>
      <c r="L773" s="183">
        <v>3.9E-2</v>
      </c>
      <c r="M773" s="326" t="s">
        <v>261</v>
      </c>
      <c r="P773" s="322" t="s">
        <v>34</v>
      </c>
      <c r="Q773" s="327">
        <f>ROUND((H773*(J773+L773))/H774,1)</f>
        <v>42.7</v>
      </c>
    </row>
    <row r="774" spans="2:21" ht="14.25" customHeight="1">
      <c r="D774" s="322"/>
      <c r="E774" s="224" t="s">
        <v>585</v>
      </c>
      <c r="F774" s="224"/>
      <c r="G774" s="322"/>
      <c r="H774" s="224">
        <v>5</v>
      </c>
      <c r="I774" s="224"/>
      <c r="J774" s="224"/>
      <c r="K774" s="224"/>
      <c r="L774" s="224"/>
      <c r="M774" s="224"/>
      <c r="P774" s="322"/>
      <c r="Q774" s="327"/>
      <c r="R774" s="157" t="s">
        <v>156</v>
      </c>
    </row>
    <row r="775" spans="2:21" ht="14.25" customHeight="1">
      <c r="R775" s="154"/>
      <c r="S775" s="159"/>
      <c r="T775" s="157"/>
      <c r="U775" s="160"/>
    </row>
    <row r="776" spans="2:21" ht="14.25" customHeight="1">
      <c r="C776" s="141" t="s">
        <v>586</v>
      </c>
    </row>
    <row r="777" spans="2:21" ht="14.25" customHeight="1">
      <c r="D777" s="322" t="s">
        <v>587</v>
      </c>
      <c r="E777" s="328" t="s">
        <v>588</v>
      </c>
      <c r="F777" s="328"/>
      <c r="G777" s="328"/>
      <c r="H777" s="329" t="s">
        <v>245</v>
      </c>
      <c r="I777" s="328" t="s">
        <v>780</v>
      </c>
      <c r="J777" s="328"/>
      <c r="K777" s="328"/>
      <c r="L777" s="329" t="s">
        <v>173</v>
      </c>
      <c r="M777" s="324">
        <f>M769</f>
        <v>2271</v>
      </c>
      <c r="N777" s="329" t="s">
        <v>300</v>
      </c>
      <c r="O777" s="324">
        <f>M769</f>
        <v>2271</v>
      </c>
      <c r="P777" s="329" t="s">
        <v>173</v>
      </c>
      <c r="Q777" s="330">
        <f>ROUND(M777/M778+O777/O778, 1)</f>
        <v>9.5</v>
      </c>
      <c r="R777" s="331"/>
    </row>
    <row r="778" spans="2:21" ht="14.25" customHeight="1">
      <c r="D778" s="322"/>
      <c r="E778" s="332" t="s">
        <v>589</v>
      </c>
      <c r="F778" s="332"/>
      <c r="G778" s="332"/>
      <c r="H778" s="329"/>
      <c r="I778" s="332" t="s">
        <v>590</v>
      </c>
      <c r="J778" s="332"/>
      <c r="K778" s="332"/>
      <c r="L778" s="329"/>
      <c r="M778" s="333">
        <v>417</v>
      </c>
      <c r="N778" s="329"/>
      <c r="O778" s="333">
        <v>556</v>
      </c>
      <c r="P778" s="329"/>
      <c r="Q778" s="330"/>
      <c r="R778" s="331" t="s">
        <v>156</v>
      </c>
      <c r="S778" s="157"/>
      <c r="U778" s="160"/>
    </row>
    <row r="779" spans="2:21" ht="14.25" customHeight="1">
      <c r="R779" s="154"/>
      <c r="S779" s="159"/>
      <c r="T779" s="157"/>
      <c r="U779" s="160"/>
    </row>
    <row r="780" spans="2:21" ht="14.25" customHeight="1">
      <c r="C780" s="141" t="s">
        <v>591</v>
      </c>
    </row>
    <row r="781" spans="2:21" ht="14.25" customHeight="1">
      <c r="D781" s="322" t="s">
        <v>592</v>
      </c>
      <c r="E781" s="328" t="s">
        <v>95</v>
      </c>
      <c r="F781" s="328"/>
      <c r="G781" s="328"/>
      <c r="H781" s="328"/>
      <c r="I781" s="331"/>
      <c r="J781" s="331"/>
      <c r="K781" s="331"/>
      <c r="L781" s="329" t="s">
        <v>173</v>
      </c>
      <c r="M781" s="324">
        <f>M769</f>
        <v>2271</v>
      </c>
      <c r="N781" s="331"/>
      <c r="O781" s="331"/>
      <c r="P781" s="329" t="s">
        <v>173</v>
      </c>
      <c r="Q781" s="330">
        <f>ROUND(M781/M782, 1)</f>
        <v>5.9</v>
      </c>
      <c r="R781" s="331"/>
      <c r="U781" s="160"/>
    </row>
    <row r="782" spans="2:21" ht="14.25" customHeight="1">
      <c r="D782" s="322"/>
      <c r="E782" s="332" t="s">
        <v>593</v>
      </c>
      <c r="F782" s="332"/>
      <c r="G782" s="332"/>
      <c r="H782" s="332"/>
      <c r="I782" s="331"/>
      <c r="J782" s="331"/>
      <c r="K782" s="331"/>
      <c r="L782" s="329"/>
      <c r="M782" s="333">
        <v>385</v>
      </c>
      <c r="N782" s="331"/>
      <c r="O782" s="331"/>
      <c r="P782" s="329"/>
      <c r="Q782" s="330"/>
      <c r="R782" s="331" t="s">
        <v>156</v>
      </c>
      <c r="S782" s="157"/>
      <c r="U782" s="160"/>
    </row>
    <row r="783" spans="2:21" ht="14.25" customHeight="1">
      <c r="R783" s="154"/>
      <c r="S783" s="159"/>
      <c r="T783" s="157"/>
      <c r="U783" s="160"/>
    </row>
    <row r="784" spans="2:21" ht="14.25" customHeight="1">
      <c r="C784" s="141" t="s">
        <v>594</v>
      </c>
    </row>
    <row r="785" spans="2:21" ht="14.25" customHeight="1">
      <c r="D785" s="322" t="s">
        <v>595</v>
      </c>
      <c r="E785" s="328" t="s">
        <v>95</v>
      </c>
      <c r="F785" s="328"/>
      <c r="G785" s="328"/>
      <c r="H785" s="328"/>
      <c r="I785" s="331"/>
      <c r="J785" s="331"/>
      <c r="K785" s="331"/>
      <c r="L785" s="329" t="s">
        <v>173</v>
      </c>
      <c r="M785" s="324">
        <f>M769</f>
        <v>2271</v>
      </c>
      <c r="N785" s="331"/>
      <c r="O785" s="331"/>
      <c r="P785" s="329" t="s">
        <v>173</v>
      </c>
      <c r="Q785" s="330">
        <f>ROUND(M785/M786, 1)</f>
        <v>3.2</v>
      </c>
      <c r="R785" s="331"/>
      <c r="U785" s="160"/>
    </row>
    <row r="786" spans="2:21" ht="14.25" customHeight="1">
      <c r="D786" s="322"/>
      <c r="E786" s="332" t="s">
        <v>593</v>
      </c>
      <c r="F786" s="332"/>
      <c r="G786" s="332"/>
      <c r="H786" s="332"/>
      <c r="I786" s="331"/>
      <c r="J786" s="331"/>
      <c r="K786" s="331"/>
      <c r="L786" s="329"/>
      <c r="M786" s="333">
        <v>714</v>
      </c>
      <c r="N786" s="331"/>
      <c r="O786" s="331"/>
      <c r="P786" s="329"/>
      <c r="Q786" s="330"/>
      <c r="R786" s="331" t="s">
        <v>156</v>
      </c>
      <c r="S786" s="157"/>
      <c r="U786" s="160"/>
    </row>
    <row r="787" spans="2:21" ht="14.25" customHeight="1">
      <c r="R787" s="154"/>
      <c r="S787" s="159"/>
      <c r="T787" s="157"/>
      <c r="U787" s="160"/>
    </row>
    <row r="788" spans="2:21" ht="14.25" customHeight="1">
      <c r="C788" s="141" t="s">
        <v>596</v>
      </c>
    </row>
    <row r="789" spans="2:21" ht="14.25" customHeight="1" thickBot="1">
      <c r="D789" s="155" t="s">
        <v>597</v>
      </c>
      <c r="E789" s="162">
        <f>ROUND(SUM(Q773,Q777,Q781,Q785),1)</f>
        <v>61.3</v>
      </c>
      <c r="F789" s="163" t="s">
        <v>156</v>
      </c>
      <c r="G789" s="155"/>
      <c r="H789" s="155"/>
      <c r="K789" s="157"/>
    </row>
    <row r="790" spans="2:21" ht="14.25" customHeight="1">
      <c r="E790" s="155"/>
      <c r="F790" s="154"/>
      <c r="G790" s="155"/>
      <c r="H790" s="155"/>
      <c r="I790" s="155"/>
      <c r="J790" s="155"/>
      <c r="K790" s="157"/>
    </row>
    <row r="791" spans="2:21" ht="14.25" hidden="1" customHeight="1">
      <c r="B791" s="143"/>
      <c r="E791" s="155"/>
      <c r="F791" s="154"/>
      <c r="G791" s="155"/>
      <c r="H791" s="155"/>
      <c r="I791" s="155"/>
      <c r="J791" s="155"/>
      <c r="K791" s="157"/>
    </row>
    <row r="792" spans="2:21" ht="14.25" hidden="1" customHeight="1"/>
    <row r="793" spans="2:21" ht="14.25" hidden="1" customHeight="1">
      <c r="B793" s="141" t="s">
        <v>574</v>
      </c>
    </row>
    <row r="794" spans="2:21" ht="14.25" hidden="1" customHeight="1">
      <c r="C794" s="157" t="s">
        <v>598</v>
      </c>
      <c r="H794" s="214" t="s">
        <v>599</v>
      </c>
      <c r="I794" s="214"/>
      <c r="J794" s="208">
        <v>0.5</v>
      </c>
      <c r="K794" s="157" t="s">
        <v>341</v>
      </c>
    </row>
    <row r="795" spans="2:21" ht="14.25" hidden="1" customHeight="1"/>
    <row r="796" spans="2:21" ht="14.25" hidden="1" customHeight="1">
      <c r="C796" s="157" t="s">
        <v>600</v>
      </c>
    </row>
    <row r="797" spans="2:21" ht="14.25" hidden="1" customHeight="1"/>
    <row r="798" spans="2:21" ht="14.25" hidden="1" customHeight="1">
      <c r="B798" s="141" t="s">
        <v>576</v>
      </c>
    </row>
    <row r="799" spans="2:21" ht="14.25" hidden="1" customHeight="1">
      <c r="C799" s="141" t="s">
        <v>601</v>
      </c>
    </row>
    <row r="800" spans="2:21" ht="14.25" hidden="1" customHeight="1"/>
    <row r="801" spans="2:21" ht="14.25" hidden="1" customHeight="1">
      <c r="C801" s="157" t="s">
        <v>577</v>
      </c>
    </row>
    <row r="802" spans="2:21" ht="14.25" hidden="1" customHeight="1"/>
    <row r="803" spans="2:21" ht="14.25" hidden="1" customHeight="1">
      <c r="C803" s="157" t="s">
        <v>578</v>
      </c>
      <c r="E803" s="155" t="s">
        <v>579</v>
      </c>
      <c r="F803" s="214" t="s">
        <v>781</v>
      </c>
      <c r="G803" s="214"/>
      <c r="H803" s="214"/>
      <c r="I803" s="155" t="s">
        <v>182</v>
      </c>
      <c r="J803" s="210"/>
      <c r="K803" s="154" t="s">
        <v>254</v>
      </c>
      <c r="L803" s="156">
        <f>D162</f>
        <v>80</v>
      </c>
      <c r="M803" s="154" t="s">
        <v>769</v>
      </c>
      <c r="N803" s="161">
        <f>ROUND(J803*L803,1)</f>
        <v>0</v>
      </c>
      <c r="O803" s="157" t="s">
        <v>782</v>
      </c>
    </row>
    <row r="804" spans="2:21" ht="14.25" hidden="1" customHeight="1"/>
    <row r="805" spans="2:21" ht="14.25" hidden="1" customHeight="1">
      <c r="B805" s="141" t="s">
        <v>581</v>
      </c>
    </row>
    <row r="806" spans="2:21" ht="14.25" hidden="1" customHeight="1">
      <c r="C806" s="141" t="s">
        <v>582</v>
      </c>
    </row>
    <row r="807" spans="2:21" ht="14.25" hidden="1" customHeight="1">
      <c r="D807" s="322"/>
      <c r="E807" s="328" t="s">
        <v>95</v>
      </c>
      <c r="F807" s="328"/>
      <c r="G807" s="328"/>
      <c r="H807" s="328"/>
      <c r="I807" s="331"/>
      <c r="J807" s="331"/>
      <c r="K807" s="331"/>
      <c r="L807" s="329" t="s">
        <v>769</v>
      </c>
      <c r="M807" s="324">
        <f>N803</f>
        <v>0</v>
      </c>
      <c r="N807" s="331"/>
      <c r="O807" s="331"/>
      <c r="P807" s="329" t="s">
        <v>173</v>
      </c>
      <c r="Q807" s="330">
        <f>ROUND(M807/M808, 1)</f>
        <v>0</v>
      </c>
      <c r="R807" s="331"/>
      <c r="U807" s="160"/>
    </row>
    <row r="808" spans="2:21" ht="14.25" hidden="1" customHeight="1">
      <c r="D808" s="322"/>
      <c r="E808" s="332" t="s">
        <v>602</v>
      </c>
      <c r="F808" s="332"/>
      <c r="G808" s="332"/>
      <c r="H808" s="332"/>
      <c r="I808" s="331"/>
      <c r="J808" s="331"/>
      <c r="K808" s="331"/>
      <c r="L808" s="329"/>
      <c r="M808" s="333">
        <v>71</v>
      </c>
      <c r="N808" s="331"/>
      <c r="O808" s="331"/>
      <c r="P808" s="329"/>
      <c r="Q808" s="330"/>
      <c r="R808" s="331" t="s">
        <v>156</v>
      </c>
      <c r="S808" s="157"/>
      <c r="U808" s="160"/>
    </row>
    <row r="809" spans="2:21" ht="14.25" hidden="1" customHeight="1">
      <c r="R809" s="154"/>
      <c r="S809" s="159"/>
      <c r="T809" s="157"/>
      <c r="U809" s="160"/>
    </row>
    <row r="810" spans="2:21" ht="14.25" hidden="1" customHeight="1">
      <c r="C810" s="157" t="s">
        <v>603</v>
      </c>
    </row>
    <row r="811" spans="2:21" ht="14.25" hidden="1" customHeight="1">
      <c r="D811" s="322"/>
      <c r="E811" s="328" t="s">
        <v>604</v>
      </c>
      <c r="F811" s="328"/>
      <c r="G811" s="328"/>
      <c r="H811" s="329" t="s">
        <v>300</v>
      </c>
      <c r="I811" s="328" t="s">
        <v>604</v>
      </c>
      <c r="J811" s="328"/>
      <c r="K811" s="328"/>
      <c r="L811" s="329" t="s">
        <v>173</v>
      </c>
      <c r="M811" s="324">
        <f>E833</f>
        <v>0</v>
      </c>
      <c r="N811" s="329" t="s">
        <v>245</v>
      </c>
      <c r="O811" s="324">
        <f>E833</f>
        <v>0</v>
      </c>
      <c r="P811" s="329" t="s">
        <v>34</v>
      </c>
      <c r="Q811" s="330">
        <f>ROUND(M811/M812+O811/O812, 1)</f>
        <v>0</v>
      </c>
      <c r="R811" s="331"/>
      <c r="U811" s="160"/>
    </row>
    <row r="812" spans="2:21" ht="14.25" hidden="1" customHeight="1">
      <c r="D812" s="322"/>
      <c r="E812" s="332" t="s">
        <v>589</v>
      </c>
      <c r="F812" s="332"/>
      <c r="G812" s="332"/>
      <c r="H812" s="329"/>
      <c r="I812" s="332" t="s">
        <v>590</v>
      </c>
      <c r="J812" s="332"/>
      <c r="K812" s="332"/>
      <c r="L812" s="329"/>
      <c r="M812" s="333">
        <v>12</v>
      </c>
      <c r="N812" s="329"/>
      <c r="O812" s="333">
        <v>16</v>
      </c>
      <c r="P812" s="329"/>
      <c r="Q812" s="330"/>
      <c r="R812" s="331" t="s">
        <v>156</v>
      </c>
      <c r="S812" s="157"/>
      <c r="U812" s="160"/>
    </row>
    <row r="813" spans="2:21" ht="14.25" hidden="1" customHeight="1">
      <c r="R813" s="154"/>
      <c r="S813" s="159"/>
      <c r="T813" s="157"/>
      <c r="U813" s="160"/>
    </row>
    <row r="814" spans="2:21" ht="14.25" hidden="1" customHeight="1">
      <c r="C814" s="141" t="s">
        <v>596</v>
      </c>
    </row>
    <row r="815" spans="2:21" ht="14.25" hidden="1" customHeight="1">
      <c r="D815" s="155"/>
      <c r="E815" s="162">
        <f>ROUND(SUM(Q807,Q811),1)</f>
        <v>0</v>
      </c>
      <c r="F815" s="163" t="s">
        <v>156</v>
      </c>
      <c r="G815" s="155"/>
      <c r="H815" s="155"/>
      <c r="K815" s="157"/>
    </row>
    <row r="816" spans="2:21" ht="14.25" hidden="1" customHeight="1">
      <c r="E816" s="155"/>
      <c r="F816" s="154"/>
      <c r="G816" s="155"/>
      <c r="H816" s="155"/>
      <c r="I816" s="155"/>
      <c r="J816" s="155"/>
      <c r="K816" s="157"/>
    </row>
    <row r="817" spans="2:6" ht="14.25" hidden="1" customHeight="1">
      <c r="B817" s="143"/>
    </row>
    <row r="818" spans="2:6" ht="14.25" hidden="1" customHeight="1"/>
    <row r="819" spans="2:6" ht="14.25" hidden="1" customHeight="1">
      <c r="C819" s="309" t="s">
        <v>605</v>
      </c>
      <c r="D819" s="309"/>
      <c r="E819" s="251" t="s">
        <v>783</v>
      </c>
      <c r="F819" s="251"/>
    </row>
    <row r="820" spans="2:6" ht="14.25" hidden="1" customHeight="1">
      <c r="C820" s="334"/>
      <c r="D820" s="334"/>
      <c r="E820" s="335"/>
      <c r="F820" s="335"/>
    </row>
    <row r="821" spans="2:6" ht="14.25" hidden="1" customHeight="1">
      <c r="C821" s="334"/>
      <c r="D821" s="334"/>
      <c r="E821" s="335"/>
      <c r="F821" s="335"/>
    </row>
    <row r="822" spans="2:6" ht="14.25" hidden="1" customHeight="1">
      <c r="C822" s="334"/>
      <c r="D822" s="334"/>
      <c r="E822" s="335"/>
      <c r="F822" s="335"/>
    </row>
    <row r="823" spans="2:6" ht="14.25" hidden="1" customHeight="1">
      <c r="C823" s="334"/>
      <c r="D823" s="334"/>
      <c r="E823" s="335"/>
      <c r="F823" s="335"/>
    </row>
    <row r="824" spans="2:6" ht="14.25" hidden="1" customHeight="1">
      <c r="C824" s="334"/>
      <c r="D824" s="334"/>
      <c r="E824" s="335"/>
      <c r="F824" s="335"/>
    </row>
    <row r="825" spans="2:6" ht="14.25" hidden="1" customHeight="1">
      <c r="C825" s="334"/>
      <c r="D825" s="334"/>
      <c r="E825" s="335"/>
      <c r="F825" s="335"/>
    </row>
    <row r="826" spans="2:6" ht="14.25" hidden="1" customHeight="1">
      <c r="C826" s="334"/>
      <c r="D826" s="334"/>
      <c r="E826" s="335"/>
      <c r="F826" s="335"/>
    </row>
    <row r="827" spans="2:6" ht="14.25" hidden="1" customHeight="1">
      <c r="C827" s="334"/>
      <c r="D827" s="334"/>
      <c r="E827" s="335"/>
      <c r="F827" s="335"/>
    </row>
    <row r="828" spans="2:6" ht="14.25" hidden="1" customHeight="1">
      <c r="C828" s="334"/>
      <c r="D828" s="334"/>
      <c r="E828" s="335"/>
      <c r="F828" s="335"/>
    </row>
    <row r="829" spans="2:6" ht="14.25" hidden="1" customHeight="1">
      <c r="C829" s="334"/>
      <c r="D829" s="334"/>
      <c r="E829" s="335"/>
      <c r="F829" s="335"/>
    </row>
    <row r="830" spans="2:6" ht="14.25" hidden="1" customHeight="1">
      <c r="C830" s="334"/>
      <c r="D830" s="334"/>
      <c r="E830" s="335"/>
      <c r="F830" s="335"/>
    </row>
    <row r="831" spans="2:6" ht="14.25" hidden="1" customHeight="1">
      <c r="C831" s="334"/>
      <c r="D831" s="334"/>
      <c r="E831" s="335"/>
      <c r="F831" s="335"/>
    </row>
    <row r="832" spans="2:6" ht="14.25" hidden="1" customHeight="1">
      <c r="C832" s="334"/>
      <c r="D832" s="334"/>
      <c r="E832" s="335"/>
      <c r="F832" s="335"/>
    </row>
    <row r="833" spans="2:22" ht="14.25" hidden="1" customHeight="1">
      <c r="C833" s="334"/>
      <c r="D833" s="334"/>
      <c r="E833" s="335"/>
      <c r="F833" s="335"/>
    </row>
    <row r="834" spans="2:22" ht="14.25" hidden="1" customHeight="1">
      <c r="C834" s="334"/>
      <c r="D834" s="334"/>
      <c r="E834" s="335"/>
      <c r="F834" s="335"/>
    </row>
    <row r="835" spans="2:22" ht="14.25" hidden="1" customHeight="1">
      <c r="C835" s="309" t="s">
        <v>606</v>
      </c>
      <c r="D835" s="309"/>
      <c r="E835" s="336">
        <f>SUM(E820:F834)</f>
        <v>0</v>
      </c>
      <c r="F835" s="336"/>
    </row>
    <row r="836" spans="2:22" ht="14.25" hidden="1" customHeight="1">
      <c r="C836" s="150"/>
      <c r="D836" s="150"/>
      <c r="E836" s="150"/>
      <c r="F836" s="150"/>
    </row>
    <row r="837" spans="2:22" ht="14.25" hidden="1" customHeight="1">
      <c r="C837" s="157" t="s">
        <v>171</v>
      </c>
    </row>
    <row r="838" spans="2:22" ht="14.25" hidden="1" customHeight="1"/>
    <row r="839" spans="2:22" ht="14.25" hidden="1" customHeight="1">
      <c r="D839" s="337"/>
      <c r="E839" s="328" t="s">
        <v>784</v>
      </c>
      <c r="F839" s="328"/>
      <c r="G839" s="328"/>
      <c r="H839" s="329" t="s">
        <v>785</v>
      </c>
      <c r="I839" s="328" t="s">
        <v>786</v>
      </c>
      <c r="J839" s="328"/>
      <c r="K839" s="328"/>
      <c r="L839" s="329" t="s">
        <v>34</v>
      </c>
      <c r="M839" s="324">
        <f>E835</f>
        <v>0</v>
      </c>
      <c r="N839" s="329" t="s">
        <v>787</v>
      </c>
      <c r="O839" s="324">
        <f>E835</f>
        <v>0</v>
      </c>
      <c r="P839" s="329" t="s">
        <v>173</v>
      </c>
      <c r="Q839" s="330">
        <f>ROUND(M839/M840+O839/O840, 1)</f>
        <v>0</v>
      </c>
      <c r="R839" s="331"/>
      <c r="T839" s="331"/>
      <c r="V839" s="160"/>
    </row>
    <row r="840" spans="2:22" ht="14.25" hidden="1" customHeight="1">
      <c r="D840" s="337"/>
      <c r="E840" s="332" t="s">
        <v>589</v>
      </c>
      <c r="F840" s="332"/>
      <c r="G840" s="332"/>
      <c r="H840" s="329"/>
      <c r="I840" s="332" t="s">
        <v>590</v>
      </c>
      <c r="J840" s="332"/>
      <c r="K840" s="332"/>
      <c r="L840" s="329"/>
      <c r="M840" s="333">
        <v>12</v>
      </c>
      <c r="N840" s="329"/>
      <c r="O840" s="333">
        <v>16</v>
      </c>
      <c r="P840" s="329"/>
      <c r="Q840" s="330"/>
      <c r="R840" s="331" t="s">
        <v>156</v>
      </c>
      <c r="T840" s="331"/>
      <c r="V840" s="160"/>
    </row>
    <row r="841" spans="2:22" ht="14.25" hidden="1" customHeight="1">
      <c r="S841" s="154"/>
      <c r="T841" s="159"/>
      <c r="U841" s="157"/>
      <c r="V841" s="160"/>
    </row>
    <row r="842" spans="2:22" ht="14.25" customHeight="1"/>
    <row r="843" spans="2:22" ht="14.25" hidden="1" customHeight="1">
      <c r="B843" s="142" t="s">
        <v>607</v>
      </c>
    </row>
    <row r="844" spans="2:22" ht="14.25" hidden="1" customHeight="1"/>
    <row r="845" spans="2:22" ht="14.25" hidden="1" customHeight="1">
      <c r="C845" s="251" t="s">
        <v>608</v>
      </c>
      <c r="D845" s="309"/>
      <c r="E845" s="251" t="s">
        <v>609</v>
      </c>
      <c r="F845" s="251"/>
    </row>
    <row r="846" spans="2:22" ht="14.25" hidden="1" customHeight="1">
      <c r="C846" s="251" t="s">
        <v>610</v>
      </c>
      <c r="D846" s="309"/>
      <c r="E846" s="336">
        <f>E848/2</f>
        <v>0</v>
      </c>
      <c r="F846" s="336"/>
    </row>
    <row r="847" spans="2:22" ht="14.25" hidden="1" customHeight="1">
      <c r="C847" s="251" t="s">
        <v>611</v>
      </c>
      <c r="D847" s="309"/>
      <c r="E847" s="336">
        <f>E848/2</f>
        <v>0</v>
      </c>
      <c r="F847" s="336"/>
    </row>
    <row r="848" spans="2:22" ht="14.25" hidden="1" customHeight="1">
      <c r="C848" s="251" t="s">
        <v>788</v>
      </c>
      <c r="D848" s="309"/>
      <c r="E848" s="336">
        <f>'[1]基本 (1)'!J60</f>
        <v>0</v>
      </c>
      <c r="F848" s="336"/>
    </row>
    <row r="849" spans="3:21" ht="14.25" hidden="1" customHeight="1"/>
    <row r="850" spans="3:21" ht="14.25" hidden="1" customHeight="1">
      <c r="C850" s="141" t="s">
        <v>612</v>
      </c>
    </row>
    <row r="851" spans="3:21" ht="14.25" hidden="1" customHeight="1">
      <c r="D851" s="322" t="s">
        <v>613</v>
      </c>
      <c r="E851" s="183" t="s">
        <v>95</v>
      </c>
      <c r="F851" s="322" t="s">
        <v>769</v>
      </c>
      <c r="G851" s="184">
        <f>E848</f>
        <v>0</v>
      </c>
      <c r="H851" s="322" t="s">
        <v>614</v>
      </c>
      <c r="I851" s="327">
        <f>ROUNDUP(G851/G852,0)</f>
        <v>0</v>
      </c>
      <c r="K851" s="322"/>
      <c r="L851" s="338"/>
    </row>
    <row r="852" spans="3:21" ht="14.25" hidden="1" customHeight="1">
      <c r="D852" s="337"/>
      <c r="E852" s="155">
        <v>50</v>
      </c>
      <c r="F852" s="337"/>
      <c r="G852" s="155">
        <v>50</v>
      </c>
      <c r="H852" s="322"/>
      <c r="I852" s="327"/>
      <c r="J852" s="157" t="s">
        <v>156</v>
      </c>
      <c r="K852" s="337"/>
      <c r="L852" s="338"/>
      <c r="M852" s="157"/>
      <c r="N852" s="154"/>
      <c r="O852" s="159"/>
      <c r="P852" s="157"/>
    </row>
    <row r="853" spans="3:21" ht="14.25" hidden="1" customHeight="1"/>
    <row r="854" spans="3:21" ht="14.25" hidden="1" customHeight="1">
      <c r="C854" s="141" t="s">
        <v>615</v>
      </c>
    </row>
    <row r="855" spans="3:21" ht="14.25" hidden="1" customHeight="1">
      <c r="D855" s="322" t="s">
        <v>616</v>
      </c>
      <c r="E855" s="183" t="s">
        <v>95</v>
      </c>
      <c r="F855" s="322" t="s">
        <v>173</v>
      </c>
      <c r="G855" s="184">
        <f>E848</f>
        <v>0</v>
      </c>
      <c r="H855" s="322" t="s">
        <v>614</v>
      </c>
      <c r="I855" s="327">
        <f>ROUNDUP(G855/G856,0)</f>
        <v>0</v>
      </c>
      <c r="K855" s="339" t="s">
        <v>177</v>
      </c>
      <c r="L855" s="340">
        <v>5</v>
      </c>
      <c r="N855" s="339" t="s">
        <v>173</v>
      </c>
      <c r="O855" s="327">
        <f>I855*L855</f>
        <v>0</v>
      </c>
      <c r="Q855" s="322"/>
      <c r="R855" s="338"/>
      <c r="U855" s="160"/>
    </row>
    <row r="856" spans="3:21" ht="14.25" hidden="1" customHeight="1">
      <c r="D856" s="337"/>
      <c r="E856" s="155">
        <v>400</v>
      </c>
      <c r="F856" s="337"/>
      <c r="G856" s="155">
        <v>400</v>
      </c>
      <c r="H856" s="322"/>
      <c r="I856" s="327"/>
      <c r="J856" s="157" t="s">
        <v>515</v>
      </c>
      <c r="K856" s="338"/>
      <c r="L856" s="341"/>
      <c r="M856" s="157" t="s">
        <v>23</v>
      </c>
      <c r="N856" s="338"/>
      <c r="O856" s="330"/>
      <c r="P856" s="157" t="s">
        <v>156</v>
      </c>
      <c r="Q856" s="337"/>
      <c r="R856" s="338"/>
      <c r="S856" s="157"/>
      <c r="U856" s="160"/>
    </row>
    <row r="857" spans="3:21" ht="14.25" hidden="1" customHeight="1">
      <c r="R857" s="154"/>
      <c r="S857" s="159"/>
      <c r="T857" s="157"/>
      <c r="U857" s="160"/>
    </row>
    <row r="858" spans="3:21" ht="14.25" hidden="1" customHeight="1">
      <c r="C858" s="157" t="s">
        <v>617</v>
      </c>
    </row>
    <row r="859" spans="3:21" ht="14.25" hidden="1" customHeight="1">
      <c r="D859" s="322" t="s">
        <v>618</v>
      </c>
      <c r="E859" s="183" t="s">
        <v>95</v>
      </c>
      <c r="F859" s="322" t="s">
        <v>173</v>
      </c>
      <c r="G859" s="184">
        <f>E847</f>
        <v>0</v>
      </c>
      <c r="H859" s="322" t="s">
        <v>614</v>
      </c>
      <c r="I859" s="327">
        <f>ROUNDUP(G859/G860,0)</f>
        <v>0</v>
      </c>
      <c r="K859" s="339" t="s">
        <v>254</v>
      </c>
      <c r="L859" s="340">
        <v>3</v>
      </c>
      <c r="N859" s="339" t="s">
        <v>34</v>
      </c>
      <c r="O859" s="327">
        <f>I859*L859</f>
        <v>0</v>
      </c>
      <c r="Q859" s="322"/>
      <c r="R859" s="338"/>
      <c r="U859" s="160"/>
    </row>
    <row r="860" spans="3:21" ht="14.25" hidden="1" customHeight="1">
      <c r="D860" s="337"/>
      <c r="E860" s="155">
        <v>400</v>
      </c>
      <c r="F860" s="337"/>
      <c r="G860" s="155">
        <v>400</v>
      </c>
      <c r="H860" s="322"/>
      <c r="I860" s="327"/>
      <c r="J860" s="157" t="s">
        <v>515</v>
      </c>
      <c r="K860" s="338"/>
      <c r="L860" s="341"/>
      <c r="M860" s="157" t="s">
        <v>23</v>
      </c>
      <c r="N860" s="338"/>
      <c r="O860" s="330"/>
      <c r="P860" s="157" t="s">
        <v>156</v>
      </c>
      <c r="Q860" s="337"/>
      <c r="R860" s="338"/>
      <c r="S860" s="157"/>
      <c r="U860" s="160"/>
    </row>
    <row r="861" spans="3:21" ht="14.25" hidden="1" customHeight="1">
      <c r="R861" s="154"/>
      <c r="S861" s="159"/>
      <c r="T861" s="157"/>
      <c r="U861" s="160"/>
    </row>
    <row r="862" spans="3:21" ht="14.25" hidden="1" customHeight="1">
      <c r="C862" s="157" t="s">
        <v>789</v>
      </c>
    </row>
    <row r="863" spans="3:21" ht="14.25" hidden="1" customHeight="1">
      <c r="D863" s="155" t="s">
        <v>619</v>
      </c>
      <c r="E863" s="162">
        <f>I851+O855</f>
        <v>0</v>
      </c>
      <c r="F863" s="206" t="s">
        <v>183</v>
      </c>
      <c r="G863" s="155"/>
    </row>
    <row r="864" spans="3:21" ht="14.25" hidden="1" customHeight="1"/>
    <row r="865" spans="2:15" ht="14.25" hidden="1" customHeight="1"/>
    <row r="866" spans="2:15" ht="14.25" customHeight="1">
      <c r="B866" s="142" t="s">
        <v>620</v>
      </c>
    </row>
    <row r="867" spans="2:15" ht="14.25" customHeight="1"/>
    <row r="868" spans="2:15" ht="14.25" customHeight="1">
      <c r="B868" s="157" t="s">
        <v>621</v>
      </c>
    </row>
    <row r="869" spans="2:15" ht="14.25" customHeight="1">
      <c r="C869" s="154" t="s">
        <v>790</v>
      </c>
      <c r="D869" s="157" t="s">
        <v>622</v>
      </c>
    </row>
    <row r="870" spans="2:15" ht="14.25" customHeight="1"/>
    <row r="871" spans="2:15" ht="14.25" customHeight="1">
      <c r="C871" s="154" t="s">
        <v>34</v>
      </c>
      <c r="D871" s="156">
        <f>'[1]基本 (1)'!L12*2+'[1]基本 (1)'!H12</f>
        <v>4.5</v>
      </c>
      <c r="E871" s="154" t="s">
        <v>791</v>
      </c>
      <c r="F871" s="165">
        <f>'[1]基本 (1)'!D12</f>
        <v>2</v>
      </c>
      <c r="G871" s="154" t="s">
        <v>23</v>
      </c>
      <c r="H871" s="154" t="s">
        <v>212</v>
      </c>
      <c r="I871" s="156">
        <f>D871*F871</f>
        <v>9</v>
      </c>
      <c r="J871" s="157" t="s">
        <v>341</v>
      </c>
    </row>
    <row r="872" spans="2:15" ht="14.25" customHeight="1"/>
    <row r="873" spans="2:15" ht="14.25" customHeight="1">
      <c r="B873" s="157" t="s">
        <v>334</v>
      </c>
    </row>
    <row r="874" spans="2:15" ht="14.25" customHeight="1">
      <c r="C874" s="322" t="s">
        <v>619</v>
      </c>
      <c r="D874" s="229" t="s">
        <v>792</v>
      </c>
      <c r="E874" s="322" t="s">
        <v>173</v>
      </c>
      <c r="F874" s="184">
        <f>I871</f>
        <v>9</v>
      </c>
      <c r="G874" s="322" t="s">
        <v>212</v>
      </c>
      <c r="H874" s="342">
        <f>ROUND(F874/F875,1)</f>
        <v>1.8</v>
      </c>
      <c r="I874" s="148"/>
      <c r="J874" s="322"/>
      <c r="K874" s="343"/>
      <c r="L874" s="148"/>
    </row>
    <row r="875" spans="2:15" ht="14.25" customHeight="1" thickBot="1">
      <c r="C875" s="322"/>
      <c r="D875" s="155">
        <v>5</v>
      </c>
      <c r="E875" s="322"/>
      <c r="F875" s="155">
        <v>5</v>
      </c>
      <c r="G875" s="322"/>
      <c r="H875" s="344"/>
      <c r="I875" s="190" t="s">
        <v>156</v>
      </c>
      <c r="J875" s="337"/>
      <c r="K875" s="343"/>
      <c r="L875" s="146"/>
      <c r="M875" s="154"/>
      <c r="N875" s="159"/>
      <c r="O875" s="157"/>
    </row>
    <row r="876" spans="2:15" ht="14.25" customHeight="1"/>
    <row r="877" spans="2:15" ht="14.25" customHeight="1"/>
    <row r="878" spans="2:15" ht="14.25" hidden="1" customHeight="1">
      <c r="B878" s="142"/>
    </row>
    <row r="879" spans="2:15" ht="14.25" hidden="1" customHeight="1"/>
    <row r="880" spans="2:15" ht="14.25" hidden="1" customHeight="1">
      <c r="B880" s="157" t="s">
        <v>623</v>
      </c>
      <c r="E880" s="154" t="s">
        <v>624</v>
      </c>
      <c r="F880" s="218" t="s">
        <v>580</v>
      </c>
      <c r="G880" s="218"/>
      <c r="H880" s="155" t="s">
        <v>182</v>
      </c>
      <c r="I880" s="210"/>
      <c r="J880" s="154" t="s">
        <v>254</v>
      </c>
      <c r="K880" s="210"/>
      <c r="L880" s="154" t="s">
        <v>212</v>
      </c>
      <c r="M880" s="165">
        <f>ROUND(I880*K880,0)</f>
        <v>0</v>
      </c>
      <c r="N880" s="157" t="s">
        <v>625</v>
      </c>
    </row>
    <row r="881" spans="2:20" ht="14.25" hidden="1" customHeight="1"/>
    <row r="882" spans="2:20" ht="14.25" hidden="1" customHeight="1">
      <c r="B882" s="157" t="s">
        <v>626</v>
      </c>
      <c r="E882" s="154" t="s">
        <v>793</v>
      </c>
      <c r="F882" s="155">
        <v>1.2999999999999999E-2</v>
      </c>
      <c r="G882" s="157" t="s">
        <v>794</v>
      </c>
      <c r="H882" s="154"/>
      <c r="I882" s="262"/>
      <c r="J882" s="157"/>
      <c r="K882" s="154"/>
      <c r="L882" s="159"/>
      <c r="M882" s="157"/>
    </row>
    <row r="883" spans="2:20" ht="14.25" hidden="1" customHeight="1">
      <c r="L883" s="260"/>
    </row>
    <row r="884" spans="2:20" ht="14.25" hidden="1" customHeight="1">
      <c r="B884" s="157" t="s">
        <v>627</v>
      </c>
    </row>
    <row r="885" spans="2:20" ht="14.25" hidden="1" customHeight="1"/>
    <row r="886" spans="2:20" ht="14.25" hidden="1" customHeight="1">
      <c r="C886" s="154"/>
      <c r="D886" s="207">
        <f>F882</f>
        <v>1.2999999999999999E-2</v>
      </c>
      <c r="E886" s="154" t="s">
        <v>795</v>
      </c>
      <c r="F886" s="165">
        <f>M880</f>
        <v>0</v>
      </c>
      <c r="G886" s="154" t="s">
        <v>796</v>
      </c>
      <c r="H886" s="213">
        <v>1.5</v>
      </c>
      <c r="I886" s="154" t="s">
        <v>797</v>
      </c>
      <c r="J886" s="210">
        <f>ROUND(D886*F886*H886,1)</f>
        <v>0</v>
      </c>
      <c r="K886" s="157" t="s">
        <v>629</v>
      </c>
    </row>
    <row r="887" spans="2:20" ht="14.25" hidden="1" customHeight="1"/>
    <row r="888" spans="2:20" ht="14.25" hidden="1" customHeight="1">
      <c r="B888" s="157" t="s">
        <v>630</v>
      </c>
    </row>
    <row r="889" spans="2:20" ht="14.25" hidden="1" customHeight="1"/>
    <row r="890" spans="2:20" ht="14.25" hidden="1" customHeight="1">
      <c r="C890" s="157" t="s">
        <v>631</v>
      </c>
      <c r="E890" s="154" t="s">
        <v>798</v>
      </c>
      <c r="F890" s="214" t="s">
        <v>632</v>
      </c>
      <c r="G890" s="214"/>
      <c r="H890" s="214"/>
      <c r="I890" s="155"/>
      <c r="J890" s="154"/>
    </row>
    <row r="891" spans="2:20" ht="14.25" hidden="1" customHeight="1">
      <c r="C891" s="157"/>
      <c r="E891" s="154"/>
      <c r="F891" s="154"/>
      <c r="G891" s="154"/>
      <c r="H891" s="154"/>
      <c r="I891" s="155"/>
      <c r="J891" s="154"/>
      <c r="L891" s="154"/>
      <c r="M891" s="155"/>
      <c r="N891" s="154"/>
      <c r="O891" s="155"/>
      <c r="P891" s="154"/>
      <c r="Q891" s="155"/>
      <c r="R891" s="154"/>
      <c r="S891" s="158"/>
      <c r="T891" s="157"/>
    </row>
    <row r="892" spans="2:20" ht="14.25" hidden="1" customHeight="1">
      <c r="C892" s="157"/>
      <c r="E892" s="154" t="s">
        <v>173</v>
      </c>
      <c r="F892" s="210"/>
      <c r="G892" s="154" t="s">
        <v>254</v>
      </c>
      <c r="H892" s="210"/>
      <c r="I892" s="154"/>
      <c r="J892" s="155"/>
      <c r="O892" s="155"/>
      <c r="P892" s="154"/>
      <c r="Q892" s="155"/>
      <c r="R892" s="154"/>
      <c r="S892" s="158"/>
      <c r="T892" s="157"/>
    </row>
    <row r="893" spans="2:20" ht="14.25" hidden="1" customHeight="1">
      <c r="C893" s="157"/>
      <c r="E893" s="154"/>
      <c r="F893" s="154"/>
      <c r="G893" s="154"/>
      <c r="H893" s="154"/>
      <c r="I893" s="155"/>
      <c r="J893" s="154"/>
      <c r="L893" s="154"/>
      <c r="M893" s="155"/>
      <c r="N893" s="154"/>
      <c r="O893" s="155"/>
      <c r="P893" s="154"/>
      <c r="Q893" s="155"/>
      <c r="R893" s="154"/>
      <c r="S893" s="158"/>
      <c r="T893" s="157"/>
    </row>
    <row r="894" spans="2:20" ht="14.25" hidden="1" customHeight="1">
      <c r="C894" s="157"/>
      <c r="E894" s="154" t="s">
        <v>173</v>
      </c>
      <c r="F894" s="161">
        <f>ROUND(F892*H892,1)</f>
        <v>0</v>
      </c>
      <c r="G894" s="157" t="s">
        <v>633</v>
      </c>
      <c r="H894" s="154"/>
      <c r="I894" s="155"/>
      <c r="J894" s="154"/>
      <c r="L894" s="154"/>
      <c r="M894" s="155"/>
      <c r="N894" s="154"/>
      <c r="O894" s="155"/>
      <c r="P894" s="154"/>
      <c r="Q894" s="155"/>
      <c r="R894" s="154"/>
      <c r="S894" s="158"/>
      <c r="T894" s="157"/>
    </row>
    <row r="895" spans="2:20" ht="14.25" hidden="1" customHeight="1"/>
    <row r="896" spans="2:20" ht="14.25" hidden="1" customHeight="1">
      <c r="C896" s="322"/>
      <c r="D896" s="345">
        <f>F894</f>
        <v>0</v>
      </c>
      <c r="E896" s="229" t="s">
        <v>795</v>
      </c>
      <c r="F896" s="183">
        <v>2.5000000000000001E-2</v>
      </c>
      <c r="G896" s="322" t="s">
        <v>795</v>
      </c>
      <c r="H896" s="346">
        <v>1.5</v>
      </c>
      <c r="I896" s="322" t="s">
        <v>799</v>
      </c>
      <c r="J896" s="347">
        <f>ROUND(((D896*F896)/D897)*H896,1)</f>
        <v>0</v>
      </c>
      <c r="L896" s="322"/>
      <c r="M896" s="338"/>
    </row>
    <row r="897" spans="2:24" ht="14.25" hidden="1" customHeight="1">
      <c r="C897" s="337"/>
      <c r="D897" s="218">
        <v>4</v>
      </c>
      <c r="E897" s="218"/>
      <c r="F897" s="218"/>
      <c r="G897" s="337"/>
      <c r="H897" s="346"/>
      <c r="I897" s="322"/>
      <c r="J897" s="348"/>
      <c r="K897" s="157" t="s">
        <v>629</v>
      </c>
      <c r="L897" s="337"/>
      <c r="M897" s="338"/>
      <c r="N897" s="157"/>
      <c r="O897" s="154"/>
      <c r="P897" s="159"/>
      <c r="Q897" s="157"/>
    </row>
    <row r="898" spans="2:24" ht="14.25" hidden="1" customHeight="1"/>
    <row r="899" spans="2:24" ht="14.25" hidden="1" customHeight="1">
      <c r="B899" s="157" t="s">
        <v>634</v>
      </c>
    </row>
    <row r="900" spans="2:24" ht="14.25" hidden="1" customHeight="1"/>
    <row r="901" spans="2:24" ht="14.25" hidden="1" customHeight="1">
      <c r="C901" s="157" t="s">
        <v>631</v>
      </c>
      <c r="E901" s="154" t="s">
        <v>800</v>
      </c>
      <c r="F901" s="214" t="s">
        <v>635</v>
      </c>
      <c r="G901" s="214"/>
      <c r="H901" s="214"/>
      <c r="I901" s="214"/>
      <c r="J901" s="214"/>
      <c r="K901" s="155"/>
      <c r="L901" s="166" t="s">
        <v>636</v>
      </c>
    </row>
    <row r="902" spans="2:24" ht="14.25" hidden="1" customHeight="1">
      <c r="C902" s="157"/>
      <c r="E902" s="154"/>
      <c r="F902" s="154"/>
      <c r="G902" s="154"/>
      <c r="H902" s="154"/>
      <c r="I902" s="154"/>
      <c r="J902" s="154"/>
      <c r="K902" s="155"/>
      <c r="L902" s="154"/>
      <c r="N902" s="154"/>
      <c r="O902" s="155"/>
      <c r="P902" s="154"/>
      <c r="Q902" s="155"/>
      <c r="R902" s="154"/>
      <c r="S902" s="155"/>
      <c r="T902" s="154"/>
      <c r="U902" s="155"/>
      <c r="V902" s="154"/>
      <c r="W902" s="158"/>
      <c r="X902" s="157"/>
    </row>
    <row r="903" spans="2:24" ht="14.25" hidden="1" customHeight="1">
      <c r="C903" s="157"/>
      <c r="E903" s="154" t="s">
        <v>212</v>
      </c>
      <c r="F903" s="210"/>
      <c r="G903" s="154" t="s">
        <v>440</v>
      </c>
      <c r="H903" s="210"/>
      <c r="I903" s="154" t="s">
        <v>284</v>
      </c>
      <c r="J903" s="155">
        <v>1</v>
      </c>
      <c r="K903" s="154" t="s">
        <v>178</v>
      </c>
      <c r="L903" s="155"/>
      <c r="Q903" s="155"/>
      <c r="R903" s="154"/>
      <c r="S903" s="155"/>
      <c r="T903" s="154"/>
      <c r="U903" s="155"/>
      <c r="V903" s="154"/>
      <c r="W903" s="158"/>
      <c r="X903" s="157"/>
    </row>
    <row r="904" spans="2:24" ht="14.25" hidden="1" customHeight="1">
      <c r="C904" s="157"/>
      <c r="E904" s="154"/>
      <c r="F904" s="154"/>
      <c r="G904" s="154"/>
      <c r="H904" s="154"/>
      <c r="I904" s="154"/>
      <c r="J904" s="154"/>
      <c r="K904" s="155"/>
      <c r="L904" s="154"/>
      <c r="N904" s="154"/>
      <c r="O904" s="155"/>
      <c r="P904" s="154"/>
      <c r="Q904" s="155"/>
      <c r="R904" s="154"/>
      <c r="S904" s="155"/>
      <c r="T904" s="154"/>
      <c r="U904" s="155"/>
      <c r="V904" s="154"/>
      <c r="W904" s="158"/>
      <c r="X904" s="157"/>
    </row>
    <row r="905" spans="2:24" ht="14.25" hidden="1" customHeight="1">
      <c r="C905" s="157"/>
      <c r="E905" s="154" t="s">
        <v>173</v>
      </c>
      <c r="F905" s="161">
        <f>ROUND(F903*(H903-1),1)</f>
        <v>0</v>
      </c>
      <c r="G905" s="157" t="s">
        <v>633</v>
      </c>
      <c r="H905" s="154"/>
      <c r="I905" s="154"/>
      <c r="J905" s="154"/>
      <c r="K905" s="155"/>
      <c r="L905" s="154"/>
      <c r="N905" s="154"/>
      <c r="O905" s="155"/>
      <c r="P905" s="154"/>
      <c r="Q905" s="155"/>
      <c r="R905" s="154"/>
      <c r="S905" s="155"/>
      <c r="T905" s="154"/>
      <c r="U905" s="155"/>
      <c r="V905" s="154"/>
      <c r="W905" s="158"/>
      <c r="X905" s="157"/>
    </row>
    <row r="906" spans="2:24" ht="14.25" hidden="1" customHeight="1">
      <c r="C906" s="157"/>
      <c r="F906" s="154"/>
      <c r="G906" s="154"/>
      <c r="H906" s="154"/>
      <c r="I906" s="154"/>
      <c r="J906" s="154"/>
      <c r="K906" s="154"/>
      <c r="L906" s="155"/>
      <c r="M906" s="154"/>
      <c r="N906" s="154"/>
      <c r="O906" s="155"/>
      <c r="P906" s="154"/>
      <c r="Q906" s="155"/>
      <c r="R906" s="154"/>
      <c r="S906" s="155"/>
      <c r="T906" s="154"/>
      <c r="U906" s="155"/>
      <c r="V906" s="154"/>
      <c r="W906" s="158"/>
      <c r="X906" s="157"/>
    </row>
    <row r="907" spans="2:24" ht="14.25" hidden="1" customHeight="1">
      <c r="C907" s="322"/>
      <c r="D907" s="345">
        <f>F905</f>
        <v>0</v>
      </c>
      <c r="E907" s="229" t="s">
        <v>796</v>
      </c>
      <c r="F907" s="325">
        <v>0.03</v>
      </c>
      <c r="G907" s="322" t="s">
        <v>796</v>
      </c>
      <c r="H907" s="346">
        <v>1.5</v>
      </c>
      <c r="I907" s="322" t="s">
        <v>799</v>
      </c>
      <c r="J907" s="347">
        <f>ROUND(((D907*F907)/D908)*H907,1)</f>
        <v>0</v>
      </c>
      <c r="L907" s="322"/>
      <c r="M907" s="338"/>
      <c r="R907" s="160"/>
    </row>
    <row r="908" spans="2:24" ht="14.25" hidden="1" customHeight="1">
      <c r="C908" s="337"/>
      <c r="D908" s="218">
        <v>4</v>
      </c>
      <c r="E908" s="218"/>
      <c r="F908" s="218"/>
      <c r="G908" s="337"/>
      <c r="H908" s="346"/>
      <c r="I908" s="322"/>
      <c r="J908" s="348"/>
      <c r="K908" s="157" t="s">
        <v>629</v>
      </c>
      <c r="L908" s="337"/>
      <c r="M908" s="338"/>
      <c r="N908" s="157"/>
      <c r="O908" s="154"/>
      <c r="P908" s="159"/>
      <c r="Q908" s="157"/>
      <c r="R908" s="160"/>
    </row>
    <row r="909" spans="2:24" ht="14.25" hidden="1" customHeight="1"/>
    <row r="910" spans="2:24" ht="14.25" hidden="1" customHeight="1">
      <c r="B910" s="157" t="s">
        <v>334</v>
      </c>
    </row>
    <row r="911" spans="2:24" ht="14.25" hidden="1" customHeight="1"/>
    <row r="912" spans="2:24" ht="14.25" hidden="1" customHeight="1">
      <c r="C912" s="155"/>
      <c r="D912" s="156">
        <f>J886</f>
        <v>0</v>
      </c>
      <c r="E912" s="154" t="s">
        <v>300</v>
      </c>
      <c r="F912" s="156">
        <f>J896</f>
        <v>0</v>
      </c>
      <c r="G912" s="154" t="s">
        <v>436</v>
      </c>
      <c r="H912" s="156">
        <f>J907</f>
        <v>0</v>
      </c>
      <c r="I912" s="154" t="s">
        <v>173</v>
      </c>
      <c r="J912" s="162">
        <f>ROUND(D912+F912+H912,1)</f>
        <v>0</v>
      </c>
      <c r="K912" s="163" t="s">
        <v>156</v>
      </c>
    </row>
  </sheetData>
  <mergeCells count="333">
    <mergeCell ref="L907:L908"/>
    <mergeCell ref="M907:M908"/>
    <mergeCell ref="D908:F908"/>
    <mergeCell ref="J896:J897"/>
    <mergeCell ref="L896:L897"/>
    <mergeCell ref="M896:M897"/>
    <mergeCell ref="D897:F897"/>
    <mergeCell ref="F901:J901"/>
    <mergeCell ref="C907:C908"/>
    <mergeCell ref="G907:G908"/>
    <mergeCell ref="H907:H908"/>
    <mergeCell ref="I907:I908"/>
    <mergeCell ref="J907:J908"/>
    <mergeCell ref="F880:G880"/>
    <mergeCell ref="F890:H890"/>
    <mergeCell ref="C896:C897"/>
    <mergeCell ref="G896:G897"/>
    <mergeCell ref="H896:H897"/>
    <mergeCell ref="I896:I897"/>
    <mergeCell ref="N859:N860"/>
    <mergeCell ref="O859:O860"/>
    <mergeCell ref="Q859:Q860"/>
    <mergeCell ref="R859:R860"/>
    <mergeCell ref="C874:C875"/>
    <mergeCell ref="E874:E875"/>
    <mergeCell ref="G874:G875"/>
    <mergeCell ref="H874:H875"/>
    <mergeCell ref="J874:J875"/>
    <mergeCell ref="K874:K875"/>
    <mergeCell ref="N855:N856"/>
    <mergeCell ref="O855:O856"/>
    <mergeCell ref="Q855:Q856"/>
    <mergeCell ref="R855:R856"/>
    <mergeCell ref="D859:D860"/>
    <mergeCell ref="F859:F860"/>
    <mergeCell ref="H859:H860"/>
    <mergeCell ref="I859:I860"/>
    <mergeCell ref="K859:K860"/>
    <mergeCell ref="L859:L860"/>
    <mergeCell ref="D855:D856"/>
    <mergeCell ref="F855:F856"/>
    <mergeCell ref="H855:H856"/>
    <mergeCell ref="I855:I856"/>
    <mergeCell ref="K855:K856"/>
    <mergeCell ref="L855:L856"/>
    <mergeCell ref="D851:D852"/>
    <mergeCell ref="F851:F852"/>
    <mergeCell ref="H851:H852"/>
    <mergeCell ref="I851:I852"/>
    <mergeCell ref="K851:K852"/>
    <mergeCell ref="L851:L852"/>
    <mergeCell ref="C846:D846"/>
    <mergeCell ref="E846:F846"/>
    <mergeCell ref="C847:D847"/>
    <mergeCell ref="E847:F847"/>
    <mergeCell ref="C848:D848"/>
    <mergeCell ref="E848:F848"/>
    <mergeCell ref="P839:P840"/>
    <mergeCell ref="Q839:Q840"/>
    <mergeCell ref="E840:G840"/>
    <mergeCell ref="I840:K840"/>
    <mergeCell ref="C845:D845"/>
    <mergeCell ref="E845:F845"/>
    <mergeCell ref="D839:D840"/>
    <mergeCell ref="E839:G839"/>
    <mergeCell ref="H839:H840"/>
    <mergeCell ref="I839:K839"/>
    <mergeCell ref="L839:L840"/>
    <mergeCell ref="N839:N840"/>
    <mergeCell ref="C833:D833"/>
    <mergeCell ref="E833:F833"/>
    <mergeCell ref="C834:D834"/>
    <mergeCell ref="E834:F834"/>
    <mergeCell ref="C835:D835"/>
    <mergeCell ref="E835:F835"/>
    <mergeCell ref="C830:D830"/>
    <mergeCell ref="E830:F830"/>
    <mergeCell ref="C831:D831"/>
    <mergeCell ref="E831:F831"/>
    <mergeCell ref="C832:D832"/>
    <mergeCell ref="E832:F832"/>
    <mergeCell ref="C827:D827"/>
    <mergeCell ref="E827:F827"/>
    <mergeCell ref="C828:D828"/>
    <mergeCell ref="E828:F828"/>
    <mergeCell ref="C829:D829"/>
    <mergeCell ref="E829:F829"/>
    <mergeCell ref="C824:D824"/>
    <mergeCell ref="E824:F824"/>
    <mergeCell ref="C825:D825"/>
    <mergeCell ref="E825:F825"/>
    <mergeCell ref="C826:D826"/>
    <mergeCell ref="E826:F826"/>
    <mergeCell ref="C821:D821"/>
    <mergeCell ref="E821:F821"/>
    <mergeCell ref="C822:D822"/>
    <mergeCell ref="E822:F822"/>
    <mergeCell ref="C823:D823"/>
    <mergeCell ref="E823:F823"/>
    <mergeCell ref="E812:G812"/>
    <mergeCell ref="I812:K812"/>
    <mergeCell ref="C819:D819"/>
    <mergeCell ref="E819:F819"/>
    <mergeCell ref="C820:D820"/>
    <mergeCell ref="E820:F820"/>
    <mergeCell ref="Q807:Q808"/>
    <mergeCell ref="E808:H808"/>
    <mergeCell ref="D811:D812"/>
    <mergeCell ref="E811:G811"/>
    <mergeCell ref="H811:H812"/>
    <mergeCell ref="I811:K811"/>
    <mergeCell ref="L811:L812"/>
    <mergeCell ref="N811:N812"/>
    <mergeCell ref="P811:P812"/>
    <mergeCell ref="Q811:Q812"/>
    <mergeCell ref="H794:I794"/>
    <mergeCell ref="F803:H803"/>
    <mergeCell ref="D807:D808"/>
    <mergeCell ref="E807:H807"/>
    <mergeCell ref="L807:L808"/>
    <mergeCell ref="P807:P808"/>
    <mergeCell ref="D785:D786"/>
    <mergeCell ref="E785:H785"/>
    <mergeCell ref="L785:L786"/>
    <mergeCell ref="P785:P786"/>
    <mergeCell ref="Q785:Q786"/>
    <mergeCell ref="E786:H786"/>
    <mergeCell ref="P777:P778"/>
    <mergeCell ref="Q777:Q778"/>
    <mergeCell ref="E778:G778"/>
    <mergeCell ref="I778:K778"/>
    <mergeCell ref="D781:D782"/>
    <mergeCell ref="E781:H781"/>
    <mergeCell ref="L781:L782"/>
    <mergeCell ref="P781:P782"/>
    <mergeCell ref="Q781:Q782"/>
    <mergeCell ref="E782:H782"/>
    <mergeCell ref="P773:P774"/>
    <mergeCell ref="Q773:Q774"/>
    <mergeCell ref="E774:F774"/>
    <mergeCell ref="H774:M774"/>
    <mergeCell ref="D777:D778"/>
    <mergeCell ref="E777:G777"/>
    <mergeCell ref="H777:H778"/>
    <mergeCell ref="I777:K777"/>
    <mergeCell ref="L777:L778"/>
    <mergeCell ref="N777:N778"/>
    <mergeCell ref="C660:D660"/>
    <mergeCell ref="E660:F660"/>
    <mergeCell ref="G660:H660"/>
    <mergeCell ref="F769:G769"/>
    <mergeCell ref="D773:D774"/>
    <mergeCell ref="E773:F773"/>
    <mergeCell ref="G773:G774"/>
    <mergeCell ref="C658:D658"/>
    <mergeCell ref="E658:F658"/>
    <mergeCell ref="G658:H658"/>
    <mergeCell ref="C659:D659"/>
    <mergeCell ref="E659:F659"/>
    <mergeCell ref="G659:H659"/>
    <mergeCell ref="B501:D501"/>
    <mergeCell ref="H501:I501"/>
    <mergeCell ref="C510:D510"/>
    <mergeCell ref="C512:D512"/>
    <mergeCell ref="C657:D657"/>
    <mergeCell ref="E657:F657"/>
    <mergeCell ref="G657:H657"/>
    <mergeCell ref="C474:D474"/>
    <mergeCell ref="E474:H474"/>
    <mergeCell ref="I474:J474"/>
    <mergeCell ref="O483:P483"/>
    <mergeCell ref="H487:I487"/>
    <mergeCell ref="L487:M487"/>
    <mergeCell ref="C472:D472"/>
    <mergeCell ref="E472:F472"/>
    <mergeCell ref="G472:H472"/>
    <mergeCell ref="I472:J472"/>
    <mergeCell ref="C473:D473"/>
    <mergeCell ref="E473:F473"/>
    <mergeCell ref="G473:H473"/>
    <mergeCell ref="I473:J473"/>
    <mergeCell ref="C470:D470"/>
    <mergeCell ref="E470:F470"/>
    <mergeCell ref="G470:H470"/>
    <mergeCell ref="I470:J470"/>
    <mergeCell ref="C471:D471"/>
    <mergeCell ref="E471:F471"/>
    <mergeCell ref="G471:H471"/>
    <mergeCell ref="I471:J471"/>
    <mergeCell ref="C468:D468"/>
    <mergeCell ref="E468:F468"/>
    <mergeCell ref="G468:H468"/>
    <mergeCell ref="I468:J468"/>
    <mergeCell ref="C469:D469"/>
    <mergeCell ref="E469:F469"/>
    <mergeCell ref="G469:H469"/>
    <mergeCell ref="I469:J469"/>
    <mergeCell ref="C466:D466"/>
    <mergeCell ref="E466:F466"/>
    <mergeCell ref="G466:H466"/>
    <mergeCell ref="I466:J466"/>
    <mergeCell ref="C467:D467"/>
    <mergeCell ref="E467:F467"/>
    <mergeCell ref="G467:H467"/>
    <mergeCell ref="I467:J467"/>
    <mergeCell ref="C464:D464"/>
    <mergeCell ref="E464:F464"/>
    <mergeCell ref="G464:H464"/>
    <mergeCell ref="I464:J464"/>
    <mergeCell ref="C465:D465"/>
    <mergeCell ref="E465:F465"/>
    <mergeCell ref="G465:H465"/>
    <mergeCell ref="I465:J465"/>
    <mergeCell ref="C461:D462"/>
    <mergeCell ref="E461:F462"/>
    <mergeCell ref="G461:H462"/>
    <mergeCell ref="I461:J462"/>
    <mergeCell ref="C463:D463"/>
    <mergeCell ref="E463:F463"/>
    <mergeCell ref="G463:H463"/>
    <mergeCell ref="I463:J463"/>
    <mergeCell ref="C457:D457"/>
    <mergeCell ref="E457:F457"/>
    <mergeCell ref="G457:H457"/>
    <mergeCell ref="I457:J457"/>
    <mergeCell ref="C458:D458"/>
    <mergeCell ref="E458:H458"/>
    <mergeCell ref="I458:J458"/>
    <mergeCell ref="C455:D455"/>
    <mergeCell ref="E455:F455"/>
    <mergeCell ref="G455:H455"/>
    <mergeCell ref="I455:J455"/>
    <mergeCell ref="C456:D456"/>
    <mergeCell ref="E456:F456"/>
    <mergeCell ref="G456:H456"/>
    <mergeCell ref="I456:J456"/>
    <mergeCell ref="C453:D453"/>
    <mergeCell ref="E453:F453"/>
    <mergeCell ref="G453:H453"/>
    <mergeCell ref="I453:J453"/>
    <mergeCell ref="C454:D454"/>
    <mergeCell ref="E454:F454"/>
    <mergeCell ref="G454:H454"/>
    <mergeCell ref="I454:J454"/>
    <mergeCell ref="C451:D451"/>
    <mergeCell ref="E451:F451"/>
    <mergeCell ref="G451:H451"/>
    <mergeCell ref="I451:J451"/>
    <mergeCell ref="C452:D452"/>
    <mergeCell ref="E452:F452"/>
    <mergeCell ref="G452:H452"/>
    <mergeCell ref="I452:J452"/>
    <mergeCell ref="C449:D449"/>
    <mergeCell ref="E449:F449"/>
    <mergeCell ref="G449:H449"/>
    <mergeCell ref="I449:J449"/>
    <mergeCell ref="C450:D450"/>
    <mergeCell ref="E450:F450"/>
    <mergeCell ref="G450:H450"/>
    <mergeCell ref="I450:J450"/>
    <mergeCell ref="C447:D447"/>
    <mergeCell ref="E447:F447"/>
    <mergeCell ref="G447:H447"/>
    <mergeCell ref="I447:J447"/>
    <mergeCell ref="C448:D448"/>
    <mergeCell ref="E448:F448"/>
    <mergeCell ref="G448:H448"/>
    <mergeCell ref="I448:J448"/>
    <mergeCell ref="G419:J419"/>
    <mergeCell ref="G420:J420"/>
    <mergeCell ref="C445:D446"/>
    <mergeCell ref="E445:F446"/>
    <mergeCell ref="G445:H446"/>
    <mergeCell ref="I445:J446"/>
    <mergeCell ref="C391:D391"/>
    <mergeCell ref="E391:F391"/>
    <mergeCell ref="G391:H391"/>
    <mergeCell ref="C392:D392"/>
    <mergeCell ref="E392:F392"/>
    <mergeCell ref="G392:H392"/>
    <mergeCell ref="C389:D389"/>
    <mergeCell ref="E389:F389"/>
    <mergeCell ref="G389:H389"/>
    <mergeCell ref="C390:D390"/>
    <mergeCell ref="E390:F390"/>
    <mergeCell ref="G390:H390"/>
    <mergeCell ref="C387:D387"/>
    <mergeCell ref="E387:F387"/>
    <mergeCell ref="G387:H387"/>
    <mergeCell ref="C388:D388"/>
    <mergeCell ref="E388:F388"/>
    <mergeCell ref="G388:H388"/>
    <mergeCell ref="C385:D385"/>
    <mergeCell ref="E385:F385"/>
    <mergeCell ref="G385:H385"/>
    <mergeCell ref="C386:D386"/>
    <mergeCell ref="E386:F386"/>
    <mergeCell ref="G386:H386"/>
    <mergeCell ref="C383:D383"/>
    <mergeCell ref="E383:F383"/>
    <mergeCell ref="G383:H383"/>
    <mergeCell ref="C384:D384"/>
    <mergeCell ref="E384:F384"/>
    <mergeCell ref="G384:H384"/>
    <mergeCell ref="E377:G377"/>
    <mergeCell ref="C380:D381"/>
    <mergeCell ref="E380:F381"/>
    <mergeCell ref="G380:H381"/>
    <mergeCell ref="C382:D382"/>
    <mergeCell ref="E382:F382"/>
    <mergeCell ref="G382:H382"/>
    <mergeCell ref="E328:E329"/>
    <mergeCell ref="K328:K329"/>
    <mergeCell ref="L328:L329"/>
    <mergeCell ref="J349:M349"/>
    <mergeCell ref="J350:M350"/>
    <mergeCell ref="C372:D372"/>
    <mergeCell ref="C291:D291"/>
    <mergeCell ref="J295:M295"/>
    <mergeCell ref="C297:D297"/>
    <mergeCell ref="J301:M301"/>
    <mergeCell ref="D325:D326"/>
    <mergeCell ref="E325:E326"/>
    <mergeCell ref="F325:H325"/>
    <mergeCell ref="F326:H326"/>
    <mergeCell ref="D85:E85"/>
    <mergeCell ref="D88:D89"/>
    <mergeCell ref="H88:H89"/>
    <mergeCell ref="I88:I89"/>
    <mergeCell ref="C175:D175"/>
    <mergeCell ref="C178:C179"/>
    <mergeCell ref="G178:G179"/>
    <mergeCell ref="H178:H179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12"/>
  <sheetViews>
    <sheetView workbookViewId="0"/>
  </sheetViews>
  <sheetFormatPr defaultColWidth="5.625" defaultRowHeight="12"/>
  <cols>
    <col min="1" max="3" width="5.625" style="141"/>
    <col min="4" max="4" width="5.875" style="141" bestFit="1" customWidth="1"/>
    <col min="5" max="5" width="7.625" style="141" bestFit="1" customWidth="1"/>
    <col min="6" max="6" width="5.875" style="141" bestFit="1" customWidth="1"/>
    <col min="7" max="7" width="5.625" style="141"/>
    <col min="8" max="8" width="6.75" style="141" bestFit="1" customWidth="1"/>
    <col min="9" max="10" width="5.75" style="141" bestFit="1" customWidth="1"/>
    <col min="11" max="11" width="5.875" style="141" bestFit="1" customWidth="1"/>
    <col min="12" max="13" width="5.75" style="141" bestFit="1" customWidth="1"/>
    <col min="14" max="14" width="5.625" style="141"/>
    <col min="15" max="16" width="5.75" style="141" bestFit="1" customWidth="1"/>
    <col min="17" max="18" width="5.625" style="141"/>
    <col min="19" max="19" width="5.75" style="141" bestFit="1" customWidth="1"/>
    <col min="20" max="259" width="5.625" style="141"/>
    <col min="260" max="260" width="5.875" style="141" bestFit="1" customWidth="1"/>
    <col min="261" max="261" width="7.625" style="141" bestFit="1" customWidth="1"/>
    <col min="262" max="262" width="5.875" style="141" bestFit="1" customWidth="1"/>
    <col min="263" max="263" width="5.625" style="141"/>
    <col min="264" max="264" width="6.75" style="141" bestFit="1" customWidth="1"/>
    <col min="265" max="266" width="5.75" style="141" bestFit="1" customWidth="1"/>
    <col min="267" max="267" width="5.875" style="141" bestFit="1" customWidth="1"/>
    <col min="268" max="269" width="5.75" style="141" bestFit="1" customWidth="1"/>
    <col min="270" max="270" width="5.625" style="141"/>
    <col min="271" max="272" width="5.75" style="141" bestFit="1" customWidth="1"/>
    <col min="273" max="274" width="5.625" style="141"/>
    <col min="275" max="275" width="5.75" style="141" bestFit="1" customWidth="1"/>
    <col min="276" max="515" width="5.625" style="141"/>
    <col min="516" max="516" width="5.875" style="141" bestFit="1" customWidth="1"/>
    <col min="517" max="517" width="7.625" style="141" bestFit="1" customWidth="1"/>
    <col min="518" max="518" width="5.875" style="141" bestFit="1" customWidth="1"/>
    <col min="519" max="519" width="5.625" style="141"/>
    <col min="520" max="520" width="6.75" style="141" bestFit="1" customWidth="1"/>
    <col min="521" max="522" width="5.75" style="141" bestFit="1" customWidth="1"/>
    <col min="523" max="523" width="5.875" style="141" bestFit="1" customWidth="1"/>
    <col min="524" max="525" width="5.75" style="141" bestFit="1" customWidth="1"/>
    <col min="526" max="526" width="5.625" style="141"/>
    <col min="527" max="528" width="5.75" style="141" bestFit="1" customWidth="1"/>
    <col min="529" max="530" width="5.625" style="141"/>
    <col min="531" max="531" width="5.75" style="141" bestFit="1" customWidth="1"/>
    <col min="532" max="771" width="5.625" style="141"/>
    <col min="772" max="772" width="5.875" style="141" bestFit="1" customWidth="1"/>
    <col min="773" max="773" width="7.625" style="141" bestFit="1" customWidth="1"/>
    <col min="774" max="774" width="5.875" style="141" bestFit="1" customWidth="1"/>
    <col min="775" max="775" width="5.625" style="141"/>
    <col min="776" max="776" width="6.75" style="141" bestFit="1" customWidth="1"/>
    <col min="777" max="778" width="5.75" style="141" bestFit="1" customWidth="1"/>
    <col min="779" max="779" width="5.875" style="141" bestFit="1" customWidth="1"/>
    <col min="780" max="781" width="5.75" style="141" bestFit="1" customWidth="1"/>
    <col min="782" max="782" width="5.625" style="141"/>
    <col min="783" max="784" width="5.75" style="141" bestFit="1" customWidth="1"/>
    <col min="785" max="786" width="5.625" style="141"/>
    <col min="787" max="787" width="5.75" style="141" bestFit="1" customWidth="1"/>
    <col min="788" max="1027" width="5.625" style="141"/>
    <col min="1028" max="1028" width="5.875" style="141" bestFit="1" customWidth="1"/>
    <col min="1029" max="1029" width="7.625" style="141" bestFit="1" customWidth="1"/>
    <col min="1030" max="1030" width="5.875" style="141" bestFit="1" customWidth="1"/>
    <col min="1031" max="1031" width="5.625" style="141"/>
    <col min="1032" max="1032" width="6.75" style="141" bestFit="1" customWidth="1"/>
    <col min="1033" max="1034" width="5.75" style="141" bestFit="1" customWidth="1"/>
    <col min="1035" max="1035" width="5.875" style="141" bestFit="1" customWidth="1"/>
    <col min="1036" max="1037" width="5.75" style="141" bestFit="1" customWidth="1"/>
    <col min="1038" max="1038" width="5.625" style="141"/>
    <col min="1039" max="1040" width="5.75" style="141" bestFit="1" customWidth="1"/>
    <col min="1041" max="1042" width="5.625" style="141"/>
    <col min="1043" max="1043" width="5.75" style="141" bestFit="1" customWidth="1"/>
    <col min="1044" max="1283" width="5.625" style="141"/>
    <col min="1284" max="1284" width="5.875" style="141" bestFit="1" customWidth="1"/>
    <col min="1285" max="1285" width="7.625" style="141" bestFit="1" customWidth="1"/>
    <col min="1286" max="1286" width="5.875" style="141" bestFit="1" customWidth="1"/>
    <col min="1287" max="1287" width="5.625" style="141"/>
    <col min="1288" max="1288" width="6.75" style="141" bestFit="1" customWidth="1"/>
    <col min="1289" max="1290" width="5.75" style="141" bestFit="1" customWidth="1"/>
    <col min="1291" max="1291" width="5.875" style="141" bestFit="1" customWidth="1"/>
    <col min="1292" max="1293" width="5.75" style="141" bestFit="1" customWidth="1"/>
    <col min="1294" max="1294" width="5.625" style="141"/>
    <col min="1295" max="1296" width="5.75" style="141" bestFit="1" customWidth="1"/>
    <col min="1297" max="1298" width="5.625" style="141"/>
    <col min="1299" max="1299" width="5.75" style="141" bestFit="1" customWidth="1"/>
    <col min="1300" max="1539" width="5.625" style="141"/>
    <col min="1540" max="1540" width="5.875" style="141" bestFit="1" customWidth="1"/>
    <col min="1541" max="1541" width="7.625" style="141" bestFit="1" customWidth="1"/>
    <col min="1542" max="1542" width="5.875" style="141" bestFit="1" customWidth="1"/>
    <col min="1543" max="1543" width="5.625" style="141"/>
    <col min="1544" max="1544" width="6.75" style="141" bestFit="1" customWidth="1"/>
    <col min="1545" max="1546" width="5.75" style="141" bestFit="1" customWidth="1"/>
    <col min="1547" max="1547" width="5.875" style="141" bestFit="1" customWidth="1"/>
    <col min="1548" max="1549" width="5.75" style="141" bestFit="1" customWidth="1"/>
    <col min="1550" max="1550" width="5.625" style="141"/>
    <col min="1551" max="1552" width="5.75" style="141" bestFit="1" customWidth="1"/>
    <col min="1553" max="1554" width="5.625" style="141"/>
    <col min="1555" max="1555" width="5.75" style="141" bestFit="1" customWidth="1"/>
    <col min="1556" max="1795" width="5.625" style="141"/>
    <col min="1796" max="1796" width="5.875" style="141" bestFit="1" customWidth="1"/>
    <col min="1797" max="1797" width="7.625" style="141" bestFit="1" customWidth="1"/>
    <col min="1798" max="1798" width="5.875" style="141" bestFit="1" customWidth="1"/>
    <col min="1799" max="1799" width="5.625" style="141"/>
    <col min="1800" max="1800" width="6.75" style="141" bestFit="1" customWidth="1"/>
    <col min="1801" max="1802" width="5.75" style="141" bestFit="1" customWidth="1"/>
    <col min="1803" max="1803" width="5.875" style="141" bestFit="1" customWidth="1"/>
    <col min="1804" max="1805" width="5.75" style="141" bestFit="1" customWidth="1"/>
    <col min="1806" max="1806" width="5.625" style="141"/>
    <col min="1807" max="1808" width="5.75" style="141" bestFit="1" customWidth="1"/>
    <col min="1809" max="1810" width="5.625" style="141"/>
    <col min="1811" max="1811" width="5.75" style="141" bestFit="1" customWidth="1"/>
    <col min="1812" max="2051" width="5.625" style="141"/>
    <col min="2052" max="2052" width="5.875" style="141" bestFit="1" customWidth="1"/>
    <col min="2053" max="2053" width="7.625" style="141" bestFit="1" customWidth="1"/>
    <col min="2054" max="2054" width="5.875" style="141" bestFit="1" customWidth="1"/>
    <col min="2055" max="2055" width="5.625" style="141"/>
    <col min="2056" max="2056" width="6.75" style="141" bestFit="1" customWidth="1"/>
    <col min="2057" max="2058" width="5.75" style="141" bestFit="1" customWidth="1"/>
    <col min="2059" max="2059" width="5.875" style="141" bestFit="1" customWidth="1"/>
    <col min="2060" max="2061" width="5.75" style="141" bestFit="1" customWidth="1"/>
    <col min="2062" max="2062" width="5.625" style="141"/>
    <col min="2063" max="2064" width="5.75" style="141" bestFit="1" customWidth="1"/>
    <col min="2065" max="2066" width="5.625" style="141"/>
    <col min="2067" max="2067" width="5.75" style="141" bestFit="1" customWidth="1"/>
    <col min="2068" max="2307" width="5.625" style="141"/>
    <col min="2308" max="2308" width="5.875" style="141" bestFit="1" customWidth="1"/>
    <col min="2309" max="2309" width="7.625" style="141" bestFit="1" customWidth="1"/>
    <col min="2310" max="2310" width="5.875" style="141" bestFit="1" customWidth="1"/>
    <col min="2311" max="2311" width="5.625" style="141"/>
    <col min="2312" max="2312" width="6.75" style="141" bestFit="1" customWidth="1"/>
    <col min="2313" max="2314" width="5.75" style="141" bestFit="1" customWidth="1"/>
    <col min="2315" max="2315" width="5.875" style="141" bestFit="1" customWidth="1"/>
    <col min="2316" max="2317" width="5.75" style="141" bestFit="1" customWidth="1"/>
    <col min="2318" max="2318" width="5.625" style="141"/>
    <col min="2319" max="2320" width="5.75" style="141" bestFit="1" customWidth="1"/>
    <col min="2321" max="2322" width="5.625" style="141"/>
    <col min="2323" max="2323" width="5.75" style="141" bestFit="1" customWidth="1"/>
    <col min="2324" max="2563" width="5.625" style="141"/>
    <col min="2564" max="2564" width="5.875" style="141" bestFit="1" customWidth="1"/>
    <col min="2565" max="2565" width="7.625" style="141" bestFit="1" customWidth="1"/>
    <col min="2566" max="2566" width="5.875" style="141" bestFit="1" customWidth="1"/>
    <col min="2567" max="2567" width="5.625" style="141"/>
    <col min="2568" max="2568" width="6.75" style="141" bestFit="1" customWidth="1"/>
    <col min="2569" max="2570" width="5.75" style="141" bestFit="1" customWidth="1"/>
    <col min="2571" max="2571" width="5.875" style="141" bestFit="1" customWidth="1"/>
    <col min="2572" max="2573" width="5.75" style="141" bestFit="1" customWidth="1"/>
    <col min="2574" max="2574" width="5.625" style="141"/>
    <col min="2575" max="2576" width="5.75" style="141" bestFit="1" customWidth="1"/>
    <col min="2577" max="2578" width="5.625" style="141"/>
    <col min="2579" max="2579" width="5.75" style="141" bestFit="1" customWidth="1"/>
    <col min="2580" max="2819" width="5.625" style="141"/>
    <col min="2820" max="2820" width="5.875" style="141" bestFit="1" customWidth="1"/>
    <col min="2821" max="2821" width="7.625" style="141" bestFit="1" customWidth="1"/>
    <col min="2822" max="2822" width="5.875" style="141" bestFit="1" customWidth="1"/>
    <col min="2823" max="2823" width="5.625" style="141"/>
    <col min="2824" max="2824" width="6.75" style="141" bestFit="1" customWidth="1"/>
    <col min="2825" max="2826" width="5.75" style="141" bestFit="1" customWidth="1"/>
    <col min="2827" max="2827" width="5.875" style="141" bestFit="1" customWidth="1"/>
    <col min="2828" max="2829" width="5.75" style="141" bestFit="1" customWidth="1"/>
    <col min="2830" max="2830" width="5.625" style="141"/>
    <col min="2831" max="2832" width="5.75" style="141" bestFit="1" customWidth="1"/>
    <col min="2833" max="2834" width="5.625" style="141"/>
    <col min="2835" max="2835" width="5.75" style="141" bestFit="1" customWidth="1"/>
    <col min="2836" max="3075" width="5.625" style="141"/>
    <col min="3076" max="3076" width="5.875" style="141" bestFit="1" customWidth="1"/>
    <col min="3077" max="3077" width="7.625" style="141" bestFit="1" customWidth="1"/>
    <col min="3078" max="3078" width="5.875" style="141" bestFit="1" customWidth="1"/>
    <col min="3079" max="3079" width="5.625" style="141"/>
    <col min="3080" max="3080" width="6.75" style="141" bestFit="1" customWidth="1"/>
    <col min="3081" max="3082" width="5.75" style="141" bestFit="1" customWidth="1"/>
    <col min="3083" max="3083" width="5.875" style="141" bestFit="1" customWidth="1"/>
    <col min="3084" max="3085" width="5.75" style="141" bestFit="1" customWidth="1"/>
    <col min="3086" max="3086" width="5.625" style="141"/>
    <col min="3087" max="3088" width="5.75" style="141" bestFit="1" customWidth="1"/>
    <col min="3089" max="3090" width="5.625" style="141"/>
    <col min="3091" max="3091" width="5.75" style="141" bestFit="1" customWidth="1"/>
    <col min="3092" max="3331" width="5.625" style="141"/>
    <col min="3332" max="3332" width="5.875" style="141" bestFit="1" customWidth="1"/>
    <col min="3333" max="3333" width="7.625" style="141" bestFit="1" customWidth="1"/>
    <col min="3334" max="3334" width="5.875" style="141" bestFit="1" customWidth="1"/>
    <col min="3335" max="3335" width="5.625" style="141"/>
    <col min="3336" max="3336" width="6.75" style="141" bestFit="1" customWidth="1"/>
    <col min="3337" max="3338" width="5.75" style="141" bestFit="1" customWidth="1"/>
    <col min="3339" max="3339" width="5.875" style="141" bestFit="1" customWidth="1"/>
    <col min="3340" max="3341" width="5.75" style="141" bestFit="1" customWidth="1"/>
    <col min="3342" max="3342" width="5.625" style="141"/>
    <col min="3343" max="3344" width="5.75" style="141" bestFit="1" customWidth="1"/>
    <col min="3345" max="3346" width="5.625" style="141"/>
    <col min="3347" max="3347" width="5.75" style="141" bestFit="1" customWidth="1"/>
    <col min="3348" max="3587" width="5.625" style="141"/>
    <col min="3588" max="3588" width="5.875" style="141" bestFit="1" customWidth="1"/>
    <col min="3589" max="3589" width="7.625" style="141" bestFit="1" customWidth="1"/>
    <col min="3590" max="3590" width="5.875" style="141" bestFit="1" customWidth="1"/>
    <col min="3591" max="3591" width="5.625" style="141"/>
    <col min="3592" max="3592" width="6.75" style="141" bestFit="1" customWidth="1"/>
    <col min="3593" max="3594" width="5.75" style="141" bestFit="1" customWidth="1"/>
    <col min="3595" max="3595" width="5.875" style="141" bestFit="1" customWidth="1"/>
    <col min="3596" max="3597" width="5.75" style="141" bestFit="1" customWidth="1"/>
    <col min="3598" max="3598" width="5.625" style="141"/>
    <col min="3599" max="3600" width="5.75" style="141" bestFit="1" customWidth="1"/>
    <col min="3601" max="3602" width="5.625" style="141"/>
    <col min="3603" max="3603" width="5.75" style="141" bestFit="1" customWidth="1"/>
    <col min="3604" max="3843" width="5.625" style="141"/>
    <col min="3844" max="3844" width="5.875" style="141" bestFit="1" customWidth="1"/>
    <col min="3845" max="3845" width="7.625" style="141" bestFit="1" customWidth="1"/>
    <col min="3846" max="3846" width="5.875" style="141" bestFit="1" customWidth="1"/>
    <col min="3847" max="3847" width="5.625" style="141"/>
    <col min="3848" max="3848" width="6.75" style="141" bestFit="1" customWidth="1"/>
    <col min="3849" max="3850" width="5.75" style="141" bestFit="1" customWidth="1"/>
    <col min="3851" max="3851" width="5.875" style="141" bestFit="1" customWidth="1"/>
    <col min="3852" max="3853" width="5.75" style="141" bestFit="1" customWidth="1"/>
    <col min="3854" max="3854" width="5.625" style="141"/>
    <col min="3855" max="3856" width="5.75" style="141" bestFit="1" customWidth="1"/>
    <col min="3857" max="3858" width="5.625" style="141"/>
    <col min="3859" max="3859" width="5.75" style="141" bestFit="1" customWidth="1"/>
    <col min="3860" max="4099" width="5.625" style="141"/>
    <col min="4100" max="4100" width="5.875" style="141" bestFit="1" customWidth="1"/>
    <col min="4101" max="4101" width="7.625" style="141" bestFit="1" customWidth="1"/>
    <col min="4102" max="4102" width="5.875" style="141" bestFit="1" customWidth="1"/>
    <col min="4103" max="4103" width="5.625" style="141"/>
    <col min="4104" max="4104" width="6.75" style="141" bestFit="1" customWidth="1"/>
    <col min="4105" max="4106" width="5.75" style="141" bestFit="1" customWidth="1"/>
    <col min="4107" max="4107" width="5.875" style="141" bestFit="1" customWidth="1"/>
    <col min="4108" max="4109" width="5.75" style="141" bestFit="1" customWidth="1"/>
    <col min="4110" max="4110" width="5.625" style="141"/>
    <col min="4111" max="4112" width="5.75" style="141" bestFit="1" customWidth="1"/>
    <col min="4113" max="4114" width="5.625" style="141"/>
    <col min="4115" max="4115" width="5.75" style="141" bestFit="1" customWidth="1"/>
    <col min="4116" max="4355" width="5.625" style="141"/>
    <col min="4356" max="4356" width="5.875" style="141" bestFit="1" customWidth="1"/>
    <col min="4357" max="4357" width="7.625" style="141" bestFit="1" customWidth="1"/>
    <col min="4358" max="4358" width="5.875" style="141" bestFit="1" customWidth="1"/>
    <col min="4359" max="4359" width="5.625" style="141"/>
    <col min="4360" max="4360" width="6.75" style="141" bestFit="1" customWidth="1"/>
    <col min="4361" max="4362" width="5.75" style="141" bestFit="1" customWidth="1"/>
    <col min="4363" max="4363" width="5.875" style="141" bestFit="1" customWidth="1"/>
    <col min="4364" max="4365" width="5.75" style="141" bestFit="1" customWidth="1"/>
    <col min="4366" max="4366" width="5.625" style="141"/>
    <col min="4367" max="4368" width="5.75" style="141" bestFit="1" customWidth="1"/>
    <col min="4369" max="4370" width="5.625" style="141"/>
    <col min="4371" max="4371" width="5.75" style="141" bestFit="1" customWidth="1"/>
    <col min="4372" max="4611" width="5.625" style="141"/>
    <col min="4612" max="4612" width="5.875" style="141" bestFit="1" customWidth="1"/>
    <col min="4613" max="4613" width="7.625" style="141" bestFit="1" customWidth="1"/>
    <col min="4614" max="4614" width="5.875" style="141" bestFit="1" customWidth="1"/>
    <col min="4615" max="4615" width="5.625" style="141"/>
    <col min="4616" max="4616" width="6.75" style="141" bestFit="1" customWidth="1"/>
    <col min="4617" max="4618" width="5.75" style="141" bestFit="1" customWidth="1"/>
    <col min="4619" max="4619" width="5.875" style="141" bestFit="1" customWidth="1"/>
    <col min="4620" max="4621" width="5.75" style="141" bestFit="1" customWidth="1"/>
    <col min="4622" max="4622" width="5.625" style="141"/>
    <col min="4623" max="4624" width="5.75" style="141" bestFit="1" customWidth="1"/>
    <col min="4625" max="4626" width="5.625" style="141"/>
    <col min="4627" max="4627" width="5.75" style="141" bestFit="1" customWidth="1"/>
    <col min="4628" max="4867" width="5.625" style="141"/>
    <col min="4868" max="4868" width="5.875" style="141" bestFit="1" customWidth="1"/>
    <col min="4869" max="4869" width="7.625" style="141" bestFit="1" customWidth="1"/>
    <col min="4870" max="4870" width="5.875" style="141" bestFit="1" customWidth="1"/>
    <col min="4871" max="4871" width="5.625" style="141"/>
    <col min="4872" max="4872" width="6.75" style="141" bestFit="1" customWidth="1"/>
    <col min="4873" max="4874" width="5.75" style="141" bestFit="1" customWidth="1"/>
    <col min="4875" max="4875" width="5.875" style="141" bestFit="1" customWidth="1"/>
    <col min="4876" max="4877" width="5.75" style="141" bestFit="1" customWidth="1"/>
    <col min="4878" max="4878" width="5.625" style="141"/>
    <col min="4879" max="4880" width="5.75" style="141" bestFit="1" customWidth="1"/>
    <col min="4881" max="4882" width="5.625" style="141"/>
    <col min="4883" max="4883" width="5.75" style="141" bestFit="1" customWidth="1"/>
    <col min="4884" max="5123" width="5.625" style="141"/>
    <col min="5124" max="5124" width="5.875" style="141" bestFit="1" customWidth="1"/>
    <col min="5125" max="5125" width="7.625" style="141" bestFit="1" customWidth="1"/>
    <col min="5126" max="5126" width="5.875" style="141" bestFit="1" customWidth="1"/>
    <col min="5127" max="5127" width="5.625" style="141"/>
    <col min="5128" max="5128" width="6.75" style="141" bestFit="1" customWidth="1"/>
    <col min="5129" max="5130" width="5.75" style="141" bestFit="1" customWidth="1"/>
    <col min="5131" max="5131" width="5.875" style="141" bestFit="1" customWidth="1"/>
    <col min="5132" max="5133" width="5.75" style="141" bestFit="1" customWidth="1"/>
    <col min="5134" max="5134" width="5.625" style="141"/>
    <col min="5135" max="5136" width="5.75" style="141" bestFit="1" customWidth="1"/>
    <col min="5137" max="5138" width="5.625" style="141"/>
    <col min="5139" max="5139" width="5.75" style="141" bestFit="1" customWidth="1"/>
    <col min="5140" max="5379" width="5.625" style="141"/>
    <col min="5380" max="5380" width="5.875" style="141" bestFit="1" customWidth="1"/>
    <col min="5381" max="5381" width="7.625" style="141" bestFit="1" customWidth="1"/>
    <col min="5382" max="5382" width="5.875" style="141" bestFit="1" customWidth="1"/>
    <col min="5383" max="5383" width="5.625" style="141"/>
    <col min="5384" max="5384" width="6.75" style="141" bestFit="1" customWidth="1"/>
    <col min="5385" max="5386" width="5.75" style="141" bestFit="1" customWidth="1"/>
    <col min="5387" max="5387" width="5.875" style="141" bestFit="1" customWidth="1"/>
    <col min="5388" max="5389" width="5.75" style="141" bestFit="1" customWidth="1"/>
    <col min="5390" max="5390" width="5.625" style="141"/>
    <col min="5391" max="5392" width="5.75" style="141" bestFit="1" customWidth="1"/>
    <col min="5393" max="5394" width="5.625" style="141"/>
    <col min="5395" max="5395" width="5.75" style="141" bestFit="1" customWidth="1"/>
    <col min="5396" max="5635" width="5.625" style="141"/>
    <col min="5636" max="5636" width="5.875" style="141" bestFit="1" customWidth="1"/>
    <col min="5637" max="5637" width="7.625" style="141" bestFit="1" customWidth="1"/>
    <col min="5638" max="5638" width="5.875" style="141" bestFit="1" customWidth="1"/>
    <col min="5639" max="5639" width="5.625" style="141"/>
    <col min="5640" max="5640" width="6.75" style="141" bestFit="1" customWidth="1"/>
    <col min="5641" max="5642" width="5.75" style="141" bestFit="1" customWidth="1"/>
    <col min="5643" max="5643" width="5.875" style="141" bestFit="1" customWidth="1"/>
    <col min="5644" max="5645" width="5.75" style="141" bestFit="1" customWidth="1"/>
    <col min="5646" max="5646" width="5.625" style="141"/>
    <col min="5647" max="5648" width="5.75" style="141" bestFit="1" customWidth="1"/>
    <col min="5649" max="5650" width="5.625" style="141"/>
    <col min="5651" max="5651" width="5.75" style="141" bestFit="1" customWidth="1"/>
    <col min="5652" max="5891" width="5.625" style="141"/>
    <col min="5892" max="5892" width="5.875" style="141" bestFit="1" customWidth="1"/>
    <col min="5893" max="5893" width="7.625" style="141" bestFit="1" customWidth="1"/>
    <col min="5894" max="5894" width="5.875" style="141" bestFit="1" customWidth="1"/>
    <col min="5895" max="5895" width="5.625" style="141"/>
    <col min="5896" max="5896" width="6.75" style="141" bestFit="1" customWidth="1"/>
    <col min="5897" max="5898" width="5.75" style="141" bestFit="1" customWidth="1"/>
    <col min="5899" max="5899" width="5.875" style="141" bestFit="1" customWidth="1"/>
    <col min="5900" max="5901" width="5.75" style="141" bestFit="1" customWidth="1"/>
    <col min="5902" max="5902" width="5.625" style="141"/>
    <col min="5903" max="5904" width="5.75" style="141" bestFit="1" customWidth="1"/>
    <col min="5905" max="5906" width="5.625" style="141"/>
    <col min="5907" max="5907" width="5.75" style="141" bestFit="1" customWidth="1"/>
    <col min="5908" max="6147" width="5.625" style="141"/>
    <col min="6148" max="6148" width="5.875" style="141" bestFit="1" customWidth="1"/>
    <col min="6149" max="6149" width="7.625" style="141" bestFit="1" customWidth="1"/>
    <col min="6150" max="6150" width="5.875" style="141" bestFit="1" customWidth="1"/>
    <col min="6151" max="6151" width="5.625" style="141"/>
    <col min="6152" max="6152" width="6.75" style="141" bestFit="1" customWidth="1"/>
    <col min="6153" max="6154" width="5.75" style="141" bestFit="1" customWidth="1"/>
    <col min="6155" max="6155" width="5.875" style="141" bestFit="1" customWidth="1"/>
    <col min="6156" max="6157" width="5.75" style="141" bestFit="1" customWidth="1"/>
    <col min="6158" max="6158" width="5.625" style="141"/>
    <col min="6159" max="6160" width="5.75" style="141" bestFit="1" customWidth="1"/>
    <col min="6161" max="6162" width="5.625" style="141"/>
    <col min="6163" max="6163" width="5.75" style="141" bestFit="1" customWidth="1"/>
    <col min="6164" max="6403" width="5.625" style="141"/>
    <col min="6404" max="6404" width="5.875" style="141" bestFit="1" customWidth="1"/>
    <col min="6405" max="6405" width="7.625" style="141" bestFit="1" customWidth="1"/>
    <col min="6406" max="6406" width="5.875" style="141" bestFit="1" customWidth="1"/>
    <col min="6407" max="6407" width="5.625" style="141"/>
    <col min="6408" max="6408" width="6.75" style="141" bestFit="1" customWidth="1"/>
    <col min="6409" max="6410" width="5.75" style="141" bestFit="1" customWidth="1"/>
    <col min="6411" max="6411" width="5.875" style="141" bestFit="1" customWidth="1"/>
    <col min="6412" max="6413" width="5.75" style="141" bestFit="1" customWidth="1"/>
    <col min="6414" max="6414" width="5.625" style="141"/>
    <col min="6415" max="6416" width="5.75" style="141" bestFit="1" customWidth="1"/>
    <col min="6417" max="6418" width="5.625" style="141"/>
    <col min="6419" max="6419" width="5.75" style="141" bestFit="1" customWidth="1"/>
    <col min="6420" max="6659" width="5.625" style="141"/>
    <col min="6660" max="6660" width="5.875" style="141" bestFit="1" customWidth="1"/>
    <col min="6661" max="6661" width="7.625" style="141" bestFit="1" customWidth="1"/>
    <col min="6662" max="6662" width="5.875" style="141" bestFit="1" customWidth="1"/>
    <col min="6663" max="6663" width="5.625" style="141"/>
    <col min="6664" max="6664" width="6.75" style="141" bestFit="1" customWidth="1"/>
    <col min="6665" max="6666" width="5.75" style="141" bestFit="1" customWidth="1"/>
    <col min="6667" max="6667" width="5.875" style="141" bestFit="1" customWidth="1"/>
    <col min="6668" max="6669" width="5.75" style="141" bestFit="1" customWidth="1"/>
    <col min="6670" max="6670" width="5.625" style="141"/>
    <col min="6671" max="6672" width="5.75" style="141" bestFit="1" customWidth="1"/>
    <col min="6673" max="6674" width="5.625" style="141"/>
    <col min="6675" max="6675" width="5.75" style="141" bestFit="1" customWidth="1"/>
    <col min="6676" max="6915" width="5.625" style="141"/>
    <col min="6916" max="6916" width="5.875" style="141" bestFit="1" customWidth="1"/>
    <col min="6917" max="6917" width="7.625" style="141" bestFit="1" customWidth="1"/>
    <col min="6918" max="6918" width="5.875" style="141" bestFit="1" customWidth="1"/>
    <col min="6919" max="6919" width="5.625" style="141"/>
    <col min="6920" max="6920" width="6.75" style="141" bestFit="1" customWidth="1"/>
    <col min="6921" max="6922" width="5.75" style="141" bestFit="1" customWidth="1"/>
    <col min="6923" max="6923" width="5.875" style="141" bestFit="1" customWidth="1"/>
    <col min="6924" max="6925" width="5.75" style="141" bestFit="1" customWidth="1"/>
    <col min="6926" max="6926" width="5.625" style="141"/>
    <col min="6927" max="6928" width="5.75" style="141" bestFit="1" customWidth="1"/>
    <col min="6929" max="6930" width="5.625" style="141"/>
    <col min="6931" max="6931" width="5.75" style="141" bestFit="1" customWidth="1"/>
    <col min="6932" max="7171" width="5.625" style="141"/>
    <col min="7172" max="7172" width="5.875" style="141" bestFit="1" customWidth="1"/>
    <col min="7173" max="7173" width="7.625" style="141" bestFit="1" customWidth="1"/>
    <col min="7174" max="7174" width="5.875" style="141" bestFit="1" customWidth="1"/>
    <col min="7175" max="7175" width="5.625" style="141"/>
    <col min="7176" max="7176" width="6.75" style="141" bestFit="1" customWidth="1"/>
    <col min="7177" max="7178" width="5.75" style="141" bestFit="1" customWidth="1"/>
    <col min="7179" max="7179" width="5.875" style="141" bestFit="1" customWidth="1"/>
    <col min="7180" max="7181" width="5.75" style="141" bestFit="1" customWidth="1"/>
    <col min="7182" max="7182" width="5.625" style="141"/>
    <col min="7183" max="7184" width="5.75" style="141" bestFit="1" customWidth="1"/>
    <col min="7185" max="7186" width="5.625" style="141"/>
    <col min="7187" max="7187" width="5.75" style="141" bestFit="1" customWidth="1"/>
    <col min="7188" max="7427" width="5.625" style="141"/>
    <col min="7428" max="7428" width="5.875" style="141" bestFit="1" customWidth="1"/>
    <col min="7429" max="7429" width="7.625" style="141" bestFit="1" customWidth="1"/>
    <col min="7430" max="7430" width="5.875" style="141" bestFit="1" customWidth="1"/>
    <col min="7431" max="7431" width="5.625" style="141"/>
    <col min="7432" max="7432" width="6.75" style="141" bestFit="1" customWidth="1"/>
    <col min="7433" max="7434" width="5.75" style="141" bestFit="1" customWidth="1"/>
    <col min="7435" max="7435" width="5.875" style="141" bestFit="1" customWidth="1"/>
    <col min="7436" max="7437" width="5.75" style="141" bestFit="1" customWidth="1"/>
    <col min="7438" max="7438" width="5.625" style="141"/>
    <col min="7439" max="7440" width="5.75" style="141" bestFit="1" customWidth="1"/>
    <col min="7441" max="7442" width="5.625" style="141"/>
    <col min="7443" max="7443" width="5.75" style="141" bestFit="1" customWidth="1"/>
    <col min="7444" max="7683" width="5.625" style="141"/>
    <col min="7684" max="7684" width="5.875" style="141" bestFit="1" customWidth="1"/>
    <col min="7685" max="7685" width="7.625" style="141" bestFit="1" customWidth="1"/>
    <col min="7686" max="7686" width="5.875" style="141" bestFit="1" customWidth="1"/>
    <col min="7687" max="7687" width="5.625" style="141"/>
    <col min="7688" max="7688" width="6.75" style="141" bestFit="1" customWidth="1"/>
    <col min="7689" max="7690" width="5.75" style="141" bestFit="1" customWidth="1"/>
    <col min="7691" max="7691" width="5.875" style="141" bestFit="1" customWidth="1"/>
    <col min="7692" max="7693" width="5.75" style="141" bestFit="1" customWidth="1"/>
    <col min="7694" max="7694" width="5.625" style="141"/>
    <col min="7695" max="7696" width="5.75" style="141" bestFit="1" customWidth="1"/>
    <col min="7697" max="7698" width="5.625" style="141"/>
    <col min="7699" max="7699" width="5.75" style="141" bestFit="1" customWidth="1"/>
    <col min="7700" max="7939" width="5.625" style="141"/>
    <col min="7940" max="7940" width="5.875" style="141" bestFit="1" customWidth="1"/>
    <col min="7941" max="7941" width="7.625" style="141" bestFit="1" customWidth="1"/>
    <col min="7942" max="7942" width="5.875" style="141" bestFit="1" customWidth="1"/>
    <col min="7943" max="7943" width="5.625" style="141"/>
    <col min="7944" max="7944" width="6.75" style="141" bestFit="1" customWidth="1"/>
    <col min="7945" max="7946" width="5.75" style="141" bestFit="1" customWidth="1"/>
    <col min="7947" max="7947" width="5.875" style="141" bestFit="1" customWidth="1"/>
    <col min="7948" max="7949" width="5.75" style="141" bestFit="1" customWidth="1"/>
    <col min="7950" max="7950" width="5.625" style="141"/>
    <col min="7951" max="7952" width="5.75" style="141" bestFit="1" customWidth="1"/>
    <col min="7953" max="7954" width="5.625" style="141"/>
    <col min="7955" max="7955" width="5.75" style="141" bestFit="1" customWidth="1"/>
    <col min="7956" max="8195" width="5.625" style="141"/>
    <col min="8196" max="8196" width="5.875" style="141" bestFit="1" customWidth="1"/>
    <col min="8197" max="8197" width="7.625" style="141" bestFit="1" customWidth="1"/>
    <col min="8198" max="8198" width="5.875" style="141" bestFit="1" customWidth="1"/>
    <col min="8199" max="8199" width="5.625" style="141"/>
    <col min="8200" max="8200" width="6.75" style="141" bestFit="1" customWidth="1"/>
    <col min="8201" max="8202" width="5.75" style="141" bestFit="1" customWidth="1"/>
    <col min="8203" max="8203" width="5.875" style="141" bestFit="1" customWidth="1"/>
    <col min="8204" max="8205" width="5.75" style="141" bestFit="1" customWidth="1"/>
    <col min="8206" max="8206" width="5.625" style="141"/>
    <col min="8207" max="8208" width="5.75" style="141" bestFit="1" customWidth="1"/>
    <col min="8209" max="8210" width="5.625" style="141"/>
    <col min="8211" max="8211" width="5.75" style="141" bestFit="1" customWidth="1"/>
    <col min="8212" max="8451" width="5.625" style="141"/>
    <col min="8452" max="8452" width="5.875" style="141" bestFit="1" customWidth="1"/>
    <col min="8453" max="8453" width="7.625" style="141" bestFit="1" customWidth="1"/>
    <col min="8454" max="8454" width="5.875" style="141" bestFit="1" customWidth="1"/>
    <col min="8455" max="8455" width="5.625" style="141"/>
    <col min="8456" max="8456" width="6.75" style="141" bestFit="1" customWidth="1"/>
    <col min="8457" max="8458" width="5.75" style="141" bestFit="1" customWidth="1"/>
    <col min="8459" max="8459" width="5.875" style="141" bestFit="1" customWidth="1"/>
    <col min="8460" max="8461" width="5.75" style="141" bestFit="1" customWidth="1"/>
    <col min="8462" max="8462" width="5.625" style="141"/>
    <col min="8463" max="8464" width="5.75" style="141" bestFit="1" customWidth="1"/>
    <col min="8465" max="8466" width="5.625" style="141"/>
    <col min="8467" max="8467" width="5.75" style="141" bestFit="1" customWidth="1"/>
    <col min="8468" max="8707" width="5.625" style="141"/>
    <col min="8708" max="8708" width="5.875" style="141" bestFit="1" customWidth="1"/>
    <col min="8709" max="8709" width="7.625" style="141" bestFit="1" customWidth="1"/>
    <col min="8710" max="8710" width="5.875" style="141" bestFit="1" customWidth="1"/>
    <col min="8711" max="8711" width="5.625" style="141"/>
    <col min="8712" max="8712" width="6.75" style="141" bestFit="1" customWidth="1"/>
    <col min="8713" max="8714" width="5.75" style="141" bestFit="1" customWidth="1"/>
    <col min="8715" max="8715" width="5.875" style="141" bestFit="1" customWidth="1"/>
    <col min="8716" max="8717" width="5.75" style="141" bestFit="1" customWidth="1"/>
    <col min="8718" max="8718" width="5.625" style="141"/>
    <col min="8719" max="8720" width="5.75" style="141" bestFit="1" customWidth="1"/>
    <col min="8721" max="8722" width="5.625" style="141"/>
    <col min="8723" max="8723" width="5.75" style="141" bestFit="1" customWidth="1"/>
    <col min="8724" max="8963" width="5.625" style="141"/>
    <col min="8964" max="8964" width="5.875" style="141" bestFit="1" customWidth="1"/>
    <col min="8965" max="8965" width="7.625" style="141" bestFit="1" customWidth="1"/>
    <col min="8966" max="8966" width="5.875" style="141" bestFit="1" customWidth="1"/>
    <col min="8967" max="8967" width="5.625" style="141"/>
    <col min="8968" max="8968" width="6.75" style="141" bestFit="1" customWidth="1"/>
    <col min="8969" max="8970" width="5.75" style="141" bestFit="1" customWidth="1"/>
    <col min="8971" max="8971" width="5.875" style="141" bestFit="1" customWidth="1"/>
    <col min="8972" max="8973" width="5.75" style="141" bestFit="1" customWidth="1"/>
    <col min="8974" max="8974" width="5.625" style="141"/>
    <col min="8975" max="8976" width="5.75" style="141" bestFit="1" customWidth="1"/>
    <col min="8977" max="8978" width="5.625" style="141"/>
    <col min="8979" max="8979" width="5.75" style="141" bestFit="1" customWidth="1"/>
    <col min="8980" max="9219" width="5.625" style="141"/>
    <col min="9220" max="9220" width="5.875" style="141" bestFit="1" customWidth="1"/>
    <col min="9221" max="9221" width="7.625" style="141" bestFit="1" customWidth="1"/>
    <col min="9222" max="9222" width="5.875" style="141" bestFit="1" customWidth="1"/>
    <col min="9223" max="9223" width="5.625" style="141"/>
    <col min="9224" max="9224" width="6.75" style="141" bestFit="1" customWidth="1"/>
    <col min="9225" max="9226" width="5.75" style="141" bestFit="1" customWidth="1"/>
    <col min="9227" max="9227" width="5.875" style="141" bestFit="1" customWidth="1"/>
    <col min="9228" max="9229" width="5.75" style="141" bestFit="1" customWidth="1"/>
    <col min="9230" max="9230" width="5.625" style="141"/>
    <col min="9231" max="9232" width="5.75" style="141" bestFit="1" customWidth="1"/>
    <col min="9233" max="9234" width="5.625" style="141"/>
    <col min="9235" max="9235" width="5.75" style="141" bestFit="1" customWidth="1"/>
    <col min="9236" max="9475" width="5.625" style="141"/>
    <col min="9476" max="9476" width="5.875" style="141" bestFit="1" customWidth="1"/>
    <col min="9477" max="9477" width="7.625" style="141" bestFit="1" customWidth="1"/>
    <col min="9478" max="9478" width="5.875" style="141" bestFit="1" customWidth="1"/>
    <col min="9479" max="9479" width="5.625" style="141"/>
    <col min="9480" max="9480" width="6.75" style="141" bestFit="1" customWidth="1"/>
    <col min="9481" max="9482" width="5.75" style="141" bestFit="1" customWidth="1"/>
    <col min="9483" max="9483" width="5.875" style="141" bestFit="1" customWidth="1"/>
    <col min="9484" max="9485" width="5.75" style="141" bestFit="1" customWidth="1"/>
    <col min="9486" max="9486" width="5.625" style="141"/>
    <col min="9487" max="9488" width="5.75" style="141" bestFit="1" customWidth="1"/>
    <col min="9489" max="9490" width="5.625" style="141"/>
    <col min="9491" max="9491" width="5.75" style="141" bestFit="1" customWidth="1"/>
    <col min="9492" max="9731" width="5.625" style="141"/>
    <col min="9732" max="9732" width="5.875" style="141" bestFit="1" customWidth="1"/>
    <col min="9733" max="9733" width="7.625" style="141" bestFit="1" customWidth="1"/>
    <col min="9734" max="9734" width="5.875" style="141" bestFit="1" customWidth="1"/>
    <col min="9735" max="9735" width="5.625" style="141"/>
    <col min="9736" max="9736" width="6.75" style="141" bestFit="1" customWidth="1"/>
    <col min="9737" max="9738" width="5.75" style="141" bestFit="1" customWidth="1"/>
    <col min="9739" max="9739" width="5.875" style="141" bestFit="1" customWidth="1"/>
    <col min="9740" max="9741" width="5.75" style="141" bestFit="1" customWidth="1"/>
    <col min="9742" max="9742" width="5.625" style="141"/>
    <col min="9743" max="9744" width="5.75" style="141" bestFit="1" customWidth="1"/>
    <col min="9745" max="9746" width="5.625" style="141"/>
    <col min="9747" max="9747" width="5.75" style="141" bestFit="1" customWidth="1"/>
    <col min="9748" max="9987" width="5.625" style="141"/>
    <col min="9988" max="9988" width="5.875" style="141" bestFit="1" customWidth="1"/>
    <col min="9989" max="9989" width="7.625" style="141" bestFit="1" customWidth="1"/>
    <col min="9990" max="9990" width="5.875" style="141" bestFit="1" customWidth="1"/>
    <col min="9991" max="9991" width="5.625" style="141"/>
    <col min="9992" max="9992" width="6.75" style="141" bestFit="1" customWidth="1"/>
    <col min="9993" max="9994" width="5.75" style="141" bestFit="1" customWidth="1"/>
    <col min="9995" max="9995" width="5.875" style="141" bestFit="1" customWidth="1"/>
    <col min="9996" max="9997" width="5.75" style="141" bestFit="1" customWidth="1"/>
    <col min="9998" max="9998" width="5.625" style="141"/>
    <col min="9999" max="10000" width="5.75" style="141" bestFit="1" customWidth="1"/>
    <col min="10001" max="10002" width="5.625" style="141"/>
    <col min="10003" max="10003" width="5.75" style="141" bestFit="1" customWidth="1"/>
    <col min="10004" max="10243" width="5.625" style="141"/>
    <col min="10244" max="10244" width="5.875" style="141" bestFit="1" customWidth="1"/>
    <col min="10245" max="10245" width="7.625" style="141" bestFit="1" customWidth="1"/>
    <col min="10246" max="10246" width="5.875" style="141" bestFit="1" customWidth="1"/>
    <col min="10247" max="10247" width="5.625" style="141"/>
    <col min="10248" max="10248" width="6.75" style="141" bestFit="1" customWidth="1"/>
    <col min="10249" max="10250" width="5.75" style="141" bestFit="1" customWidth="1"/>
    <col min="10251" max="10251" width="5.875" style="141" bestFit="1" customWidth="1"/>
    <col min="10252" max="10253" width="5.75" style="141" bestFit="1" customWidth="1"/>
    <col min="10254" max="10254" width="5.625" style="141"/>
    <col min="10255" max="10256" width="5.75" style="141" bestFit="1" customWidth="1"/>
    <col min="10257" max="10258" width="5.625" style="141"/>
    <col min="10259" max="10259" width="5.75" style="141" bestFit="1" customWidth="1"/>
    <col min="10260" max="10499" width="5.625" style="141"/>
    <col min="10500" max="10500" width="5.875" style="141" bestFit="1" customWidth="1"/>
    <col min="10501" max="10501" width="7.625" style="141" bestFit="1" customWidth="1"/>
    <col min="10502" max="10502" width="5.875" style="141" bestFit="1" customWidth="1"/>
    <col min="10503" max="10503" width="5.625" style="141"/>
    <col min="10504" max="10504" width="6.75" style="141" bestFit="1" customWidth="1"/>
    <col min="10505" max="10506" width="5.75" style="141" bestFit="1" customWidth="1"/>
    <col min="10507" max="10507" width="5.875" style="141" bestFit="1" customWidth="1"/>
    <col min="10508" max="10509" width="5.75" style="141" bestFit="1" customWidth="1"/>
    <col min="10510" max="10510" width="5.625" style="141"/>
    <col min="10511" max="10512" width="5.75" style="141" bestFit="1" customWidth="1"/>
    <col min="10513" max="10514" width="5.625" style="141"/>
    <col min="10515" max="10515" width="5.75" style="141" bestFit="1" customWidth="1"/>
    <col min="10516" max="10755" width="5.625" style="141"/>
    <col min="10756" max="10756" width="5.875" style="141" bestFit="1" customWidth="1"/>
    <col min="10757" max="10757" width="7.625" style="141" bestFit="1" customWidth="1"/>
    <col min="10758" max="10758" width="5.875" style="141" bestFit="1" customWidth="1"/>
    <col min="10759" max="10759" width="5.625" style="141"/>
    <col min="10760" max="10760" width="6.75" style="141" bestFit="1" customWidth="1"/>
    <col min="10761" max="10762" width="5.75" style="141" bestFit="1" customWidth="1"/>
    <col min="10763" max="10763" width="5.875" style="141" bestFit="1" customWidth="1"/>
    <col min="10764" max="10765" width="5.75" style="141" bestFit="1" customWidth="1"/>
    <col min="10766" max="10766" width="5.625" style="141"/>
    <col min="10767" max="10768" width="5.75" style="141" bestFit="1" customWidth="1"/>
    <col min="10769" max="10770" width="5.625" style="141"/>
    <col min="10771" max="10771" width="5.75" style="141" bestFit="1" customWidth="1"/>
    <col min="10772" max="11011" width="5.625" style="141"/>
    <col min="11012" max="11012" width="5.875" style="141" bestFit="1" customWidth="1"/>
    <col min="11013" max="11013" width="7.625" style="141" bestFit="1" customWidth="1"/>
    <col min="11014" max="11014" width="5.875" style="141" bestFit="1" customWidth="1"/>
    <col min="11015" max="11015" width="5.625" style="141"/>
    <col min="11016" max="11016" width="6.75" style="141" bestFit="1" customWidth="1"/>
    <col min="11017" max="11018" width="5.75" style="141" bestFit="1" customWidth="1"/>
    <col min="11019" max="11019" width="5.875" style="141" bestFit="1" customWidth="1"/>
    <col min="11020" max="11021" width="5.75" style="141" bestFit="1" customWidth="1"/>
    <col min="11022" max="11022" width="5.625" style="141"/>
    <col min="11023" max="11024" width="5.75" style="141" bestFit="1" customWidth="1"/>
    <col min="11025" max="11026" width="5.625" style="141"/>
    <col min="11027" max="11027" width="5.75" style="141" bestFit="1" customWidth="1"/>
    <col min="11028" max="11267" width="5.625" style="141"/>
    <col min="11268" max="11268" width="5.875" style="141" bestFit="1" customWidth="1"/>
    <col min="11269" max="11269" width="7.625" style="141" bestFit="1" customWidth="1"/>
    <col min="11270" max="11270" width="5.875" style="141" bestFit="1" customWidth="1"/>
    <col min="11271" max="11271" width="5.625" style="141"/>
    <col min="11272" max="11272" width="6.75" style="141" bestFit="1" customWidth="1"/>
    <col min="11273" max="11274" width="5.75" style="141" bestFit="1" customWidth="1"/>
    <col min="11275" max="11275" width="5.875" style="141" bestFit="1" customWidth="1"/>
    <col min="11276" max="11277" width="5.75" style="141" bestFit="1" customWidth="1"/>
    <col min="11278" max="11278" width="5.625" style="141"/>
    <col min="11279" max="11280" width="5.75" style="141" bestFit="1" customWidth="1"/>
    <col min="11281" max="11282" width="5.625" style="141"/>
    <col min="11283" max="11283" width="5.75" style="141" bestFit="1" customWidth="1"/>
    <col min="11284" max="11523" width="5.625" style="141"/>
    <col min="11524" max="11524" width="5.875" style="141" bestFit="1" customWidth="1"/>
    <col min="11525" max="11525" width="7.625" style="141" bestFit="1" customWidth="1"/>
    <col min="11526" max="11526" width="5.875" style="141" bestFit="1" customWidth="1"/>
    <col min="11527" max="11527" width="5.625" style="141"/>
    <col min="11528" max="11528" width="6.75" style="141" bestFit="1" customWidth="1"/>
    <col min="11529" max="11530" width="5.75" style="141" bestFit="1" customWidth="1"/>
    <col min="11531" max="11531" width="5.875" style="141" bestFit="1" customWidth="1"/>
    <col min="11532" max="11533" width="5.75" style="141" bestFit="1" customWidth="1"/>
    <col min="11534" max="11534" width="5.625" style="141"/>
    <col min="11535" max="11536" width="5.75" style="141" bestFit="1" customWidth="1"/>
    <col min="11537" max="11538" width="5.625" style="141"/>
    <col min="11539" max="11539" width="5.75" style="141" bestFit="1" customWidth="1"/>
    <col min="11540" max="11779" width="5.625" style="141"/>
    <col min="11780" max="11780" width="5.875" style="141" bestFit="1" customWidth="1"/>
    <col min="11781" max="11781" width="7.625" style="141" bestFit="1" customWidth="1"/>
    <col min="11782" max="11782" width="5.875" style="141" bestFit="1" customWidth="1"/>
    <col min="11783" max="11783" width="5.625" style="141"/>
    <col min="11784" max="11784" width="6.75" style="141" bestFit="1" customWidth="1"/>
    <col min="11785" max="11786" width="5.75" style="141" bestFit="1" customWidth="1"/>
    <col min="11787" max="11787" width="5.875" style="141" bestFit="1" customWidth="1"/>
    <col min="11788" max="11789" width="5.75" style="141" bestFit="1" customWidth="1"/>
    <col min="11790" max="11790" width="5.625" style="141"/>
    <col min="11791" max="11792" width="5.75" style="141" bestFit="1" customWidth="1"/>
    <col min="11793" max="11794" width="5.625" style="141"/>
    <col min="11795" max="11795" width="5.75" style="141" bestFit="1" customWidth="1"/>
    <col min="11796" max="12035" width="5.625" style="141"/>
    <col min="12036" max="12036" width="5.875" style="141" bestFit="1" customWidth="1"/>
    <col min="12037" max="12037" width="7.625" style="141" bestFit="1" customWidth="1"/>
    <col min="12038" max="12038" width="5.875" style="141" bestFit="1" customWidth="1"/>
    <col min="12039" max="12039" width="5.625" style="141"/>
    <col min="12040" max="12040" width="6.75" style="141" bestFit="1" customWidth="1"/>
    <col min="12041" max="12042" width="5.75" style="141" bestFit="1" customWidth="1"/>
    <col min="12043" max="12043" width="5.875" style="141" bestFit="1" customWidth="1"/>
    <col min="12044" max="12045" width="5.75" style="141" bestFit="1" customWidth="1"/>
    <col min="12046" max="12046" width="5.625" style="141"/>
    <col min="12047" max="12048" width="5.75" style="141" bestFit="1" customWidth="1"/>
    <col min="12049" max="12050" width="5.625" style="141"/>
    <col min="12051" max="12051" width="5.75" style="141" bestFit="1" customWidth="1"/>
    <col min="12052" max="12291" width="5.625" style="141"/>
    <col min="12292" max="12292" width="5.875" style="141" bestFit="1" customWidth="1"/>
    <col min="12293" max="12293" width="7.625" style="141" bestFit="1" customWidth="1"/>
    <col min="12294" max="12294" width="5.875" style="141" bestFit="1" customWidth="1"/>
    <col min="12295" max="12295" width="5.625" style="141"/>
    <col min="12296" max="12296" width="6.75" style="141" bestFit="1" customWidth="1"/>
    <col min="12297" max="12298" width="5.75" style="141" bestFit="1" customWidth="1"/>
    <col min="12299" max="12299" width="5.875" style="141" bestFit="1" customWidth="1"/>
    <col min="12300" max="12301" width="5.75" style="141" bestFit="1" customWidth="1"/>
    <col min="12302" max="12302" width="5.625" style="141"/>
    <col min="12303" max="12304" width="5.75" style="141" bestFit="1" customWidth="1"/>
    <col min="12305" max="12306" width="5.625" style="141"/>
    <col min="12307" max="12307" width="5.75" style="141" bestFit="1" customWidth="1"/>
    <col min="12308" max="12547" width="5.625" style="141"/>
    <col min="12548" max="12548" width="5.875" style="141" bestFit="1" customWidth="1"/>
    <col min="12549" max="12549" width="7.625" style="141" bestFit="1" customWidth="1"/>
    <col min="12550" max="12550" width="5.875" style="141" bestFit="1" customWidth="1"/>
    <col min="12551" max="12551" width="5.625" style="141"/>
    <col min="12552" max="12552" width="6.75" style="141" bestFit="1" customWidth="1"/>
    <col min="12553" max="12554" width="5.75" style="141" bestFit="1" customWidth="1"/>
    <col min="12555" max="12555" width="5.875" style="141" bestFit="1" customWidth="1"/>
    <col min="12556" max="12557" width="5.75" style="141" bestFit="1" customWidth="1"/>
    <col min="12558" max="12558" width="5.625" style="141"/>
    <col min="12559" max="12560" width="5.75" style="141" bestFit="1" customWidth="1"/>
    <col min="12561" max="12562" width="5.625" style="141"/>
    <col min="12563" max="12563" width="5.75" style="141" bestFit="1" customWidth="1"/>
    <col min="12564" max="12803" width="5.625" style="141"/>
    <col min="12804" max="12804" width="5.875" style="141" bestFit="1" customWidth="1"/>
    <col min="12805" max="12805" width="7.625" style="141" bestFit="1" customWidth="1"/>
    <col min="12806" max="12806" width="5.875" style="141" bestFit="1" customWidth="1"/>
    <col min="12807" max="12807" width="5.625" style="141"/>
    <col min="12808" max="12808" width="6.75" style="141" bestFit="1" customWidth="1"/>
    <col min="12809" max="12810" width="5.75" style="141" bestFit="1" customWidth="1"/>
    <col min="12811" max="12811" width="5.875" style="141" bestFit="1" customWidth="1"/>
    <col min="12812" max="12813" width="5.75" style="141" bestFit="1" customWidth="1"/>
    <col min="12814" max="12814" width="5.625" style="141"/>
    <col min="12815" max="12816" width="5.75" style="141" bestFit="1" customWidth="1"/>
    <col min="12817" max="12818" width="5.625" style="141"/>
    <col min="12819" max="12819" width="5.75" style="141" bestFit="1" customWidth="1"/>
    <col min="12820" max="13059" width="5.625" style="141"/>
    <col min="13060" max="13060" width="5.875" style="141" bestFit="1" customWidth="1"/>
    <col min="13061" max="13061" width="7.625" style="141" bestFit="1" customWidth="1"/>
    <col min="13062" max="13062" width="5.875" style="141" bestFit="1" customWidth="1"/>
    <col min="13063" max="13063" width="5.625" style="141"/>
    <col min="13064" max="13064" width="6.75" style="141" bestFit="1" customWidth="1"/>
    <col min="13065" max="13066" width="5.75" style="141" bestFit="1" customWidth="1"/>
    <col min="13067" max="13067" width="5.875" style="141" bestFit="1" customWidth="1"/>
    <col min="13068" max="13069" width="5.75" style="141" bestFit="1" customWidth="1"/>
    <col min="13070" max="13070" width="5.625" style="141"/>
    <col min="13071" max="13072" width="5.75" style="141" bestFit="1" customWidth="1"/>
    <col min="13073" max="13074" width="5.625" style="141"/>
    <col min="13075" max="13075" width="5.75" style="141" bestFit="1" customWidth="1"/>
    <col min="13076" max="13315" width="5.625" style="141"/>
    <col min="13316" max="13316" width="5.875" style="141" bestFit="1" customWidth="1"/>
    <col min="13317" max="13317" width="7.625" style="141" bestFit="1" customWidth="1"/>
    <col min="13318" max="13318" width="5.875" style="141" bestFit="1" customWidth="1"/>
    <col min="13319" max="13319" width="5.625" style="141"/>
    <col min="13320" max="13320" width="6.75" style="141" bestFit="1" customWidth="1"/>
    <col min="13321" max="13322" width="5.75" style="141" bestFit="1" customWidth="1"/>
    <col min="13323" max="13323" width="5.875" style="141" bestFit="1" customWidth="1"/>
    <col min="13324" max="13325" width="5.75" style="141" bestFit="1" customWidth="1"/>
    <col min="13326" max="13326" width="5.625" style="141"/>
    <col min="13327" max="13328" width="5.75" style="141" bestFit="1" customWidth="1"/>
    <col min="13329" max="13330" width="5.625" style="141"/>
    <col min="13331" max="13331" width="5.75" style="141" bestFit="1" customWidth="1"/>
    <col min="13332" max="13571" width="5.625" style="141"/>
    <col min="13572" max="13572" width="5.875" style="141" bestFit="1" customWidth="1"/>
    <col min="13573" max="13573" width="7.625" style="141" bestFit="1" customWidth="1"/>
    <col min="13574" max="13574" width="5.875" style="141" bestFit="1" customWidth="1"/>
    <col min="13575" max="13575" width="5.625" style="141"/>
    <col min="13576" max="13576" width="6.75" style="141" bestFit="1" customWidth="1"/>
    <col min="13577" max="13578" width="5.75" style="141" bestFit="1" customWidth="1"/>
    <col min="13579" max="13579" width="5.875" style="141" bestFit="1" customWidth="1"/>
    <col min="13580" max="13581" width="5.75" style="141" bestFit="1" customWidth="1"/>
    <col min="13582" max="13582" width="5.625" style="141"/>
    <col min="13583" max="13584" width="5.75" style="141" bestFit="1" customWidth="1"/>
    <col min="13585" max="13586" width="5.625" style="141"/>
    <col min="13587" max="13587" width="5.75" style="141" bestFit="1" customWidth="1"/>
    <col min="13588" max="13827" width="5.625" style="141"/>
    <col min="13828" max="13828" width="5.875" style="141" bestFit="1" customWidth="1"/>
    <col min="13829" max="13829" width="7.625" style="141" bestFit="1" customWidth="1"/>
    <col min="13830" max="13830" width="5.875" style="141" bestFit="1" customWidth="1"/>
    <col min="13831" max="13831" width="5.625" style="141"/>
    <col min="13832" max="13832" width="6.75" style="141" bestFit="1" customWidth="1"/>
    <col min="13833" max="13834" width="5.75" style="141" bestFit="1" customWidth="1"/>
    <col min="13835" max="13835" width="5.875" style="141" bestFit="1" customWidth="1"/>
    <col min="13836" max="13837" width="5.75" style="141" bestFit="1" customWidth="1"/>
    <col min="13838" max="13838" width="5.625" style="141"/>
    <col min="13839" max="13840" width="5.75" style="141" bestFit="1" customWidth="1"/>
    <col min="13841" max="13842" width="5.625" style="141"/>
    <col min="13843" max="13843" width="5.75" style="141" bestFit="1" customWidth="1"/>
    <col min="13844" max="14083" width="5.625" style="141"/>
    <col min="14084" max="14084" width="5.875" style="141" bestFit="1" customWidth="1"/>
    <col min="14085" max="14085" width="7.625" style="141" bestFit="1" customWidth="1"/>
    <col min="14086" max="14086" width="5.875" style="141" bestFit="1" customWidth="1"/>
    <col min="14087" max="14087" width="5.625" style="141"/>
    <col min="14088" max="14088" width="6.75" style="141" bestFit="1" customWidth="1"/>
    <col min="14089" max="14090" width="5.75" style="141" bestFit="1" customWidth="1"/>
    <col min="14091" max="14091" width="5.875" style="141" bestFit="1" customWidth="1"/>
    <col min="14092" max="14093" width="5.75" style="141" bestFit="1" customWidth="1"/>
    <col min="14094" max="14094" width="5.625" style="141"/>
    <col min="14095" max="14096" width="5.75" style="141" bestFit="1" customWidth="1"/>
    <col min="14097" max="14098" width="5.625" style="141"/>
    <col min="14099" max="14099" width="5.75" style="141" bestFit="1" customWidth="1"/>
    <col min="14100" max="14339" width="5.625" style="141"/>
    <col min="14340" max="14340" width="5.875" style="141" bestFit="1" customWidth="1"/>
    <col min="14341" max="14341" width="7.625" style="141" bestFit="1" customWidth="1"/>
    <col min="14342" max="14342" width="5.875" style="141" bestFit="1" customWidth="1"/>
    <col min="14343" max="14343" width="5.625" style="141"/>
    <col min="14344" max="14344" width="6.75" style="141" bestFit="1" customWidth="1"/>
    <col min="14345" max="14346" width="5.75" style="141" bestFit="1" customWidth="1"/>
    <col min="14347" max="14347" width="5.875" style="141" bestFit="1" customWidth="1"/>
    <col min="14348" max="14349" width="5.75" style="141" bestFit="1" customWidth="1"/>
    <col min="14350" max="14350" width="5.625" style="141"/>
    <col min="14351" max="14352" width="5.75" style="141" bestFit="1" customWidth="1"/>
    <col min="14353" max="14354" width="5.625" style="141"/>
    <col min="14355" max="14355" width="5.75" style="141" bestFit="1" customWidth="1"/>
    <col min="14356" max="14595" width="5.625" style="141"/>
    <col min="14596" max="14596" width="5.875" style="141" bestFit="1" customWidth="1"/>
    <col min="14597" max="14597" width="7.625" style="141" bestFit="1" customWidth="1"/>
    <col min="14598" max="14598" width="5.875" style="141" bestFit="1" customWidth="1"/>
    <col min="14599" max="14599" width="5.625" style="141"/>
    <col min="14600" max="14600" width="6.75" style="141" bestFit="1" customWidth="1"/>
    <col min="14601" max="14602" width="5.75" style="141" bestFit="1" customWidth="1"/>
    <col min="14603" max="14603" width="5.875" style="141" bestFit="1" customWidth="1"/>
    <col min="14604" max="14605" width="5.75" style="141" bestFit="1" customWidth="1"/>
    <col min="14606" max="14606" width="5.625" style="141"/>
    <col min="14607" max="14608" width="5.75" style="141" bestFit="1" customWidth="1"/>
    <col min="14609" max="14610" width="5.625" style="141"/>
    <col min="14611" max="14611" width="5.75" style="141" bestFit="1" customWidth="1"/>
    <col min="14612" max="14851" width="5.625" style="141"/>
    <col min="14852" max="14852" width="5.875" style="141" bestFit="1" customWidth="1"/>
    <col min="14853" max="14853" width="7.625" style="141" bestFit="1" customWidth="1"/>
    <col min="14854" max="14854" width="5.875" style="141" bestFit="1" customWidth="1"/>
    <col min="14855" max="14855" width="5.625" style="141"/>
    <col min="14856" max="14856" width="6.75" style="141" bestFit="1" customWidth="1"/>
    <col min="14857" max="14858" width="5.75" style="141" bestFit="1" customWidth="1"/>
    <col min="14859" max="14859" width="5.875" style="141" bestFit="1" customWidth="1"/>
    <col min="14860" max="14861" width="5.75" style="141" bestFit="1" customWidth="1"/>
    <col min="14862" max="14862" width="5.625" style="141"/>
    <col min="14863" max="14864" width="5.75" style="141" bestFit="1" customWidth="1"/>
    <col min="14865" max="14866" width="5.625" style="141"/>
    <col min="14867" max="14867" width="5.75" style="141" bestFit="1" customWidth="1"/>
    <col min="14868" max="15107" width="5.625" style="141"/>
    <col min="15108" max="15108" width="5.875" style="141" bestFit="1" customWidth="1"/>
    <col min="15109" max="15109" width="7.625" style="141" bestFit="1" customWidth="1"/>
    <col min="15110" max="15110" width="5.875" style="141" bestFit="1" customWidth="1"/>
    <col min="15111" max="15111" width="5.625" style="141"/>
    <col min="15112" max="15112" width="6.75" style="141" bestFit="1" customWidth="1"/>
    <col min="15113" max="15114" width="5.75" style="141" bestFit="1" customWidth="1"/>
    <col min="15115" max="15115" width="5.875" style="141" bestFit="1" customWidth="1"/>
    <col min="15116" max="15117" width="5.75" style="141" bestFit="1" customWidth="1"/>
    <col min="15118" max="15118" width="5.625" style="141"/>
    <col min="15119" max="15120" width="5.75" style="141" bestFit="1" customWidth="1"/>
    <col min="15121" max="15122" width="5.625" style="141"/>
    <col min="15123" max="15123" width="5.75" style="141" bestFit="1" customWidth="1"/>
    <col min="15124" max="15363" width="5.625" style="141"/>
    <col min="15364" max="15364" width="5.875" style="141" bestFit="1" customWidth="1"/>
    <col min="15365" max="15365" width="7.625" style="141" bestFit="1" customWidth="1"/>
    <col min="15366" max="15366" width="5.875" style="141" bestFit="1" customWidth="1"/>
    <col min="15367" max="15367" width="5.625" style="141"/>
    <col min="15368" max="15368" width="6.75" style="141" bestFit="1" customWidth="1"/>
    <col min="15369" max="15370" width="5.75" style="141" bestFit="1" customWidth="1"/>
    <col min="15371" max="15371" width="5.875" style="141" bestFit="1" customWidth="1"/>
    <col min="15372" max="15373" width="5.75" style="141" bestFit="1" customWidth="1"/>
    <col min="15374" max="15374" width="5.625" style="141"/>
    <col min="15375" max="15376" width="5.75" style="141" bestFit="1" customWidth="1"/>
    <col min="15377" max="15378" width="5.625" style="141"/>
    <col min="15379" max="15379" width="5.75" style="141" bestFit="1" customWidth="1"/>
    <col min="15380" max="15619" width="5.625" style="141"/>
    <col min="15620" max="15620" width="5.875" style="141" bestFit="1" customWidth="1"/>
    <col min="15621" max="15621" width="7.625" style="141" bestFit="1" customWidth="1"/>
    <col min="15622" max="15622" width="5.875" style="141" bestFit="1" customWidth="1"/>
    <col min="15623" max="15623" width="5.625" style="141"/>
    <col min="15624" max="15624" width="6.75" style="141" bestFit="1" customWidth="1"/>
    <col min="15625" max="15626" width="5.75" style="141" bestFit="1" customWidth="1"/>
    <col min="15627" max="15627" width="5.875" style="141" bestFit="1" customWidth="1"/>
    <col min="15628" max="15629" width="5.75" style="141" bestFit="1" customWidth="1"/>
    <col min="15630" max="15630" width="5.625" style="141"/>
    <col min="15631" max="15632" width="5.75" style="141" bestFit="1" customWidth="1"/>
    <col min="15633" max="15634" width="5.625" style="141"/>
    <col min="15635" max="15635" width="5.75" style="141" bestFit="1" customWidth="1"/>
    <col min="15636" max="15875" width="5.625" style="141"/>
    <col min="15876" max="15876" width="5.875" style="141" bestFit="1" customWidth="1"/>
    <col min="15877" max="15877" width="7.625" style="141" bestFit="1" customWidth="1"/>
    <col min="15878" max="15878" width="5.875" style="141" bestFit="1" customWidth="1"/>
    <col min="15879" max="15879" width="5.625" style="141"/>
    <col min="15880" max="15880" width="6.75" style="141" bestFit="1" customWidth="1"/>
    <col min="15881" max="15882" width="5.75" style="141" bestFit="1" customWidth="1"/>
    <col min="15883" max="15883" width="5.875" style="141" bestFit="1" customWidth="1"/>
    <col min="15884" max="15885" width="5.75" style="141" bestFit="1" customWidth="1"/>
    <col min="15886" max="15886" width="5.625" style="141"/>
    <col min="15887" max="15888" width="5.75" style="141" bestFit="1" customWidth="1"/>
    <col min="15889" max="15890" width="5.625" style="141"/>
    <col min="15891" max="15891" width="5.75" style="141" bestFit="1" customWidth="1"/>
    <col min="15892" max="16131" width="5.625" style="141"/>
    <col min="16132" max="16132" width="5.875" style="141" bestFit="1" customWidth="1"/>
    <col min="16133" max="16133" width="7.625" style="141" bestFit="1" customWidth="1"/>
    <col min="16134" max="16134" width="5.875" style="141" bestFit="1" customWidth="1"/>
    <col min="16135" max="16135" width="5.625" style="141"/>
    <col min="16136" max="16136" width="6.75" style="141" bestFit="1" customWidth="1"/>
    <col min="16137" max="16138" width="5.75" style="141" bestFit="1" customWidth="1"/>
    <col min="16139" max="16139" width="5.875" style="141" bestFit="1" customWidth="1"/>
    <col min="16140" max="16141" width="5.75" style="141" bestFit="1" customWidth="1"/>
    <col min="16142" max="16142" width="5.625" style="141"/>
    <col min="16143" max="16144" width="5.75" style="141" bestFit="1" customWidth="1"/>
    <col min="16145" max="16146" width="5.625" style="141"/>
    <col min="16147" max="16147" width="5.75" style="141" bestFit="1" customWidth="1"/>
    <col min="16148" max="16384" width="5.625" style="141"/>
  </cols>
  <sheetData>
    <row r="1" spans="1:20" ht="14.25" customHeight="1">
      <c r="A1" s="1" t="s">
        <v>801</v>
      </c>
    </row>
    <row r="2" spans="1:20" ht="14.25" customHeight="1"/>
    <row r="3" spans="1:20" ht="14.25" customHeight="1">
      <c r="B3" s="143" t="s">
        <v>802</v>
      </c>
    </row>
    <row r="4" spans="1:20" ht="14.25" customHeight="1"/>
    <row r="5" spans="1:20" ht="14.25" customHeight="1">
      <c r="B5" s="157" t="s">
        <v>803</v>
      </c>
    </row>
    <row r="6" spans="1:20" ht="14.25" customHeight="1">
      <c r="C6" s="155" t="s">
        <v>548</v>
      </c>
      <c r="D6" s="355" t="s">
        <v>804</v>
      </c>
      <c r="E6" s="155" t="s">
        <v>76</v>
      </c>
      <c r="F6" s="154" t="s">
        <v>805</v>
      </c>
      <c r="G6" s="155"/>
      <c r="H6" s="263" t="s">
        <v>806</v>
      </c>
    </row>
    <row r="7" spans="1:20" ht="14.25" customHeight="1"/>
    <row r="8" spans="1:20" ht="14.25" customHeight="1">
      <c r="C8" s="155" t="s">
        <v>182</v>
      </c>
      <c r="D8" s="156">
        <f>'[1]日数 (1)'!D414-'[1]基本 (1)'!H12</f>
        <v>-2</v>
      </c>
      <c r="E8" s="155" t="s">
        <v>76</v>
      </c>
      <c r="F8" s="156">
        <f>'[1]基本 (1)'!H12</f>
        <v>3</v>
      </c>
      <c r="G8" s="155"/>
      <c r="H8" s="158"/>
      <c r="S8" s="157"/>
    </row>
    <row r="9" spans="1:20" ht="14.25" customHeight="1">
      <c r="S9" s="157"/>
    </row>
    <row r="10" spans="1:20" ht="14.25" customHeight="1">
      <c r="C10" s="155" t="s">
        <v>182</v>
      </c>
      <c r="D10" s="156">
        <f>D8+F8</f>
        <v>1</v>
      </c>
      <c r="E10" s="260" t="s">
        <v>7</v>
      </c>
      <c r="F10" s="155" t="s">
        <v>393</v>
      </c>
      <c r="G10" s="155" t="s">
        <v>548</v>
      </c>
      <c r="H10" s="165">
        <f>ROUNDUP(D10/5,0)*5</f>
        <v>5</v>
      </c>
      <c r="I10" s="166" t="s">
        <v>807</v>
      </c>
      <c r="M10" s="157"/>
      <c r="S10" s="157"/>
    </row>
    <row r="11" spans="1:20" ht="14.25" customHeight="1">
      <c r="G11" s="157" t="s">
        <v>808</v>
      </c>
      <c r="M11" s="157"/>
      <c r="S11" s="157"/>
    </row>
    <row r="12" spans="1:20" ht="14.25" customHeight="1">
      <c r="S12" s="157"/>
    </row>
    <row r="13" spans="1:20" ht="14.25" customHeight="1">
      <c r="C13" s="337" t="s">
        <v>809</v>
      </c>
      <c r="D13" s="322" t="s">
        <v>810</v>
      </c>
      <c r="E13" s="323">
        <v>10</v>
      </c>
      <c r="F13" s="323"/>
      <c r="G13" s="337" t="s">
        <v>182</v>
      </c>
      <c r="H13" s="322" t="s">
        <v>811</v>
      </c>
      <c r="I13" s="323">
        <v>10</v>
      </c>
      <c r="J13" s="323"/>
      <c r="K13" s="323"/>
      <c r="L13" s="323"/>
      <c r="M13" s="323"/>
      <c r="N13" s="323"/>
      <c r="O13" s="337" t="s">
        <v>182</v>
      </c>
      <c r="P13" s="348">
        <f>ROUND(DEGREES(ATAN(10/(1.5+K14/2))),1)</f>
        <v>76</v>
      </c>
      <c r="Q13" s="356" t="s">
        <v>812</v>
      </c>
      <c r="R13" s="337" t="str">
        <f>IF(P13&gt;S13,"＞","≦")</f>
        <v>＞</v>
      </c>
      <c r="S13" s="337">
        <v>75</v>
      </c>
      <c r="T13" s="356" t="s">
        <v>812</v>
      </c>
    </row>
    <row r="14" spans="1:20" ht="14.25" customHeight="1">
      <c r="C14" s="337"/>
      <c r="D14" s="322"/>
      <c r="E14" s="214" t="s">
        <v>813</v>
      </c>
      <c r="F14" s="214"/>
      <c r="G14" s="337"/>
      <c r="H14" s="337"/>
      <c r="I14" s="155">
        <v>1.5</v>
      </c>
      <c r="J14" s="176" t="s">
        <v>814</v>
      </c>
      <c r="K14" s="212">
        <f>'[1]基本 (1)'!P10+2</f>
        <v>2</v>
      </c>
      <c r="L14" s="154" t="s">
        <v>815</v>
      </c>
      <c r="M14" s="155">
        <v>2</v>
      </c>
      <c r="N14" s="157" t="s">
        <v>816</v>
      </c>
      <c r="O14" s="337"/>
      <c r="P14" s="348"/>
      <c r="Q14" s="357"/>
      <c r="R14" s="337"/>
      <c r="S14" s="337"/>
      <c r="T14" s="357"/>
    </row>
    <row r="15" spans="1:20" ht="14.25" customHeight="1"/>
    <row r="16" spans="1:20" ht="14.25" customHeight="1">
      <c r="D16" s="154" t="s">
        <v>817</v>
      </c>
      <c r="E16" s="157" t="s">
        <v>818</v>
      </c>
    </row>
    <row r="17" spans="2:17" ht="14.25" customHeight="1"/>
    <row r="18" spans="2:17" ht="14.25" customHeight="1" thickBot="1">
      <c r="C18" s="154" t="s">
        <v>819</v>
      </c>
      <c r="D18" s="188">
        <f>IF(P13&gt;75,S13,P13)</f>
        <v>75</v>
      </c>
      <c r="E18" s="163" t="s">
        <v>812</v>
      </c>
    </row>
    <row r="19" spans="2:17" ht="14.25" customHeight="1"/>
    <row r="20" spans="2:17" ht="14.25" customHeight="1">
      <c r="C20" s="155" t="s">
        <v>820</v>
      </c>
      <c r="D20" s="358" t="s">
        <v>821</v>
      </c>
      <c r="I20" s="154" t="s">
        <v>822</v>
      </c>
      <c r="J20" s="296" t="s">
        <v>823</v>
      </c>
      <c r="K20" s="296"/>
      <c r="L20" s="154" t="s">
        <v>628</v>
      </c>
      <c r="M20" s="210">
        <f>'[1]基本 (1)'!L10</f>
        <v>10</v>
      </c>
      <c r="N20" s="157" t="s">
        <v>824</v>
      </c>
      <c r="O20" s="155" t="str">
        <f>IF(M20&gt;P20,"＞","≦")</f>
        <v>＞</v>
      </c>
      <c r="P20" s="158">
        <v>8</v>
      </c>
      <c r="Q20" s="157" t="s">
        <v>824</v>
      </c>
    </row>
    <row r="21" spans="2:17" ht="14.25" customHeight="1"/>
    <row r="22" spans="2:17" ht="14.25" customHeight="1">
      <c r="C22" s="155" t="s">
        <v>182</v>
      </c>
      <c r="D22" s="158">
        <v>-1</v>
      </c>
      <c r="E22" s="155" t="s">
        <v>473</v>
      </c>
      <c r="F22" s="156">
        <f>D10</f>
        <v>1</v>
      </c>
      <c r="G22" s="155" t="s">
        <v>5</v>
      </c>
      <c r="H22" s="155">
        <v>8</v>
      </c>
      <c r="I22" s="155" t="s">
        <v>825</v>
      </c>
      <c r="J22" s="155" t="s">
        <v>826</v>
      </c>
      <c r="K22" s="156">
        <f>D18</f>
        <v>75</v>
      </c>
      <c r="L22" s="154" t="s">
        <v>827</v>
      </c>
      <c r="M22" s="156">
        <f>IF(M20&lt;=P20,M20,P20)</f>
        <v>8</v>
      </c>
    </row>
    <row r="23" spans="2:17" ht="14.25" customHeight="1"/>
    <row r="24" spans="2:17" ht="14.25" customHeight="1">
      <c r="C24" s="155" t="s">
        <v>182</v>
      </c>
      <c r="D24" s="156">
        <f>ROUND(-1+(F22+H22)*(1/TAN((RADIANS(K22))))+M22,1)</f>
        <v>9.4</v>
      </c>
      <c r="E24" s="141" t="s">
        <v>7</v>
      </c>
      <c r="F24" s="154" t="s">
        <v>828</v>
      </c>
      <c r="G24" s="165">
        <f>IF(D24&lt;=8,8,ROUNDUP(D24,0))</f>
        <v>10</v>
      </c>
      <c r="H24" s="166" t="s">
        <v>824</v>
      </c>
    </row>
    <row r="25" spans="2:17" ht="14.25" customHeight="1"/>
    <row r="26" spans="2:17" ht="14.25" customHeight="1" thickBot="1">
      <c r="C26" s="154" t="s">
        <v>829</v>
      </c>
      <c r="D26" s="162">
        <f>G24</f>
        <v>10</v>
      </c>
      <c r="E26" s="163" t="s">
        <v>824</v>
      </c>
      <c r="F26" s="260"/>
      <c r="G26" s="260"/>
    </row>
    <row r="27" spans="2:17" ht="14.25" customHeight="1"/>
    <row r="28" spans="2:17" ht="14.25" customHeight="1">
      <c r="B28" s="157" t="s">
        <v>830</v>
      </c>
    </row>
    <row r="29" spans="2:17" ht="14.25" customHeight="1" thickBot="1">
      <c r="C29" s="155" t="s">
        <v>831</v>
      </c>
      <c r="D29" s="214" t="s">
        <v>832</v>
      </c>
      <c r="E29" s="214"/>
      <c r="F29" s="214"/>
      <c r="G29" s="154" t="s">
        <v>628</v>
      </c>
      <c r="H29" s="156">
        <f>N30</f>
        <v>14.7</v>
      </c>
      <c r="I29" s="154" t="s">
        <v>833</v>
      </c>
      <c r="J29" s="213">
        <v>0.8</v>
      </c>
      <c r="K29" s="154" t="s">
        <v>628</v>
      </c>
      <c r="L29" s="210">
        <f>H29+J29</f>
        <v>15.5</v>
      </c>
      <c r="M29" s="157" t="s">
        <v>834</v>
      </c>
      <c r="N29" s="154" t="s">
        <v>828</v>
      </c>
      <c r="O29" s="359">
        <f>ROUNDUP(L29,0)</f>
        <v>16</v>
      </c>
      <c r="P29" s="163" t="s">
        <v>834</v>
      </c>
    </row>
    <row r="30" spans="2:17" ht="14.25" customHeight="1">
      <c r="D30" s="157" t="s">
        <v>835</v>
      </c>
      <c r="J30" s="156">
        <f>'[1]基本 (1)'!G28</f>
        <v>411.8</v>
      </c>
      <c r="K30" s="154" t="s">
        <v>815</v>
      </c>
      <c r="L30" s="165">
        <f>'[1]基本 (1)'!J28</f>
        <v>28</v>
      </c>
      <c r="M30" s="154" t="s">
        <v>628</v>
      </c>
      <c r="N30" s="156">
        <f>ROUND(J30/L30,1)</f>
        <v>14.7</v>
      </c>
      <c r="O30" s="157" t="s">
        <v>816</v>
      </c>
    </row>
    <row r="31" spans="2:17" ht="14.25" customHeight="1">
      <c r="C31" s="214" t="s">
        <v>836</v>
      </c>
      <c r="D31" s="214"/>
      <c r="E31" s="214"/>
      <c r="F31" s="214"/>
      <c r="G31" s="214"/>
      <c r="H31" s="214"/>
      <c r="I31" s="360" t="str">
        <f>IF($H$10&lt;=5,"表2-3-2",IF($H$10&lt;=10,"表2-3-3",IF($H$10&lt;=15,"表2-3-4",IF($H$10&lt;=20,"表2-3-5",IF($H$10&lt;=25,"表2-3-6","表2-3-7")))))</f>
        <v>表2-3-2</v>
      </c>
      <c r="J31" s="360"/>
      <c r="K31" s="157" t="s">
        <v>837</v>
      </c>
    </row>
    <row r="32" spans="2:17" ht="14.25" customHeight="1"/>
    <row r="33" spans="2:16" ht="14.25" customHeight="1" thickBot="1">
      <c r="D33" s="188">
        <v>100</v>
      </c>
      <c r="E33" s="163" t="str">
        <f>IF(D33&gt;=100,"ｔ吊りトラッククレーン（油圧式）を使用","ｔ吊りトラッククレーン（ラフテレーンクレーン）を使用")</f>
        <v>ｔ吊りトラッククレーン（油圧式）を使用</v>
      </c>
      <c r="F33" s="206"/>
      <c r="G33" s="206"/>
      <c r="H33" s="206"/>
      <c r="I33" s="206"/>
      <c r="J33" s="206"/>
      <c r="K33" s="206"/>
      <c r="L33" s="148"/>
    </row>
    <row r="34" spans="2:16" ht="14.25" customHeight="1"/>
    <row r="35" spans="2:16" ht="14.25" customHeight="1"/>
    <row r="36" spans="2:16" ht="14.25" customHeight="1">
      <c r="B36" s="143" t="s">
        <v>838</v>
      </c>
    </row>
    <row r="37" spans="2:16" ht="14.25" customHeight="1"/>
    <row r="38" spans="2:16" ht="14.25" customHeight="1">
      <c r="B38" s="157" t="s">
        <v>839</v>
      </c>
    </row>
    <row r="39" spans="2:16" ht="14.25" customHeight="1">
      <c r="C39" s="155" t="s">
        <v>548</v>
      </c>
      <c r="D39" s="165">
        <f>H10</f>
        <v>5</v>
      </c>
      <c r="E39" s="141" t="s">
        <v>7</v>
      </c>
      <c r="F39" s="166" t="s">
        <v>840</v>
      </c>
      <c r="G39" s="159"/>
      <c r="H39" s="260"/>
      <c r="I39" s="154"/>
      <c r="J39" s="155"/>
      <c r="K39" s="157"/>
    </row>
    <row r="40" spans="2:16" ht="14.25" customHeight="1"/>
    <row r="41" spans="2:16" ht="14.25" customHeight="1">
      <c r="C41" s="154" t="s">
        <v>841</v>
      </c>
      <c r="D41" s="151">
        <f>D26</f>
        <v>10</v>
      </c>
      <c r="E41" s="146" t="s">
        <v>824</v>
      </c>
      <c r="F41" s="166" t="s">
        <v>840</v>
      </c>
    </row>
    <row r="42" spans="2:16" ht="14.25" customHeight="1"/>
    <row r="43" spans="2:16" ht="14.25" customHeight="1">
      <c r="B43" s="157" t="s">
        <v>830</v>
      </c>
    </row>
    <row r="44" spans="2:16" ht="14.25" customHeight="1" thickBot="1">
      <c r="C44" s="155" t="s">
        <v>831</v>
      </c>
      <c r="D44" s="214" t="s">
        <v>842</v>
      </c>
      <c r="E44" s="214"/>
      <c r="F44" s="214"/>
      <c r="G44" s="154" t="s">
        <v>628</v>
      </c>
      <c r="H44" s="212">
        <f>'[1]日数 (1)'!D186</f>
        <v>12.09</v>
      </c>
      <c r="I44" s="154" t="s">
        <v>833</v>
      </c>
      <c r="J44" s="213">
        <v>0.5</v>
      </c>
      <c r="K44" s="154" t="s">
        <v>628</v>
      </c>
      <c r="L44" s="210">
        <f>H44+J44</f>
        <v>12.59</v>
      </c>
      <c r="M44" s="157" t="s">
        <v>834</v>
      </c>
      <c r="N44" s="154" t="s">
        <v>828</v>
      </c>
      <c r="O44" s="359">
        <f>ROUNDUP(L44,0)</f>
        <v>13</v>
      </c>
      <c r="P44" s="163" t="s">
        <v>834</v>
      </c>
    </row>
    <row r="45" spans="2:16" ht="14.25" customHeight="1"/>
    <row r="46" spans="2:16" ht="14.25" customHeight="1">
      <c r="C46" s="214" t="s">
        <v>836</v>
      </c>
      <c r="D46" s="214"/>
      <c r="E46" s="214"/>
      <c r="F46" s="214"/>
      <c r="G46" s="214"/>
      <c r="H46" s="214"/>
      <c r="I46" s="360" t="str">
        <f>IF($D$39&lt;=5,"表2-3-2",IF($D$39&lt;=10,"表2-3-3",IF($D$39&lt;=15,"表2-3-4",IF($D$39&lt;=20,"表2-3-5",IF($D$39&lt;=25,"表2-3-6","表2-3-7")))))</f>
        <v>表2-3-2</v>
      </c>
      <c r="J46" s="360"/>
      <c r="K46" s="157" t="s">
        <v>837</v>
      </c>
    </row>
    <row r="47" spans="2:16" ht="14.25" customHeight="1"/>
    <row r="48" spans="2:16" ht="14.25" customHeight="1" thickBot="1">
      <c r="D48" s="188">
        <v>65</v>
      </c>
      <c r="E48" s="163" t="str">
        <f>IF(D48&gt;100,"ｔ吊りトラッククレーン（油圧式）を使用","ｔ吊りトラッククレーン（ラフテレーンクレーン）を使用")</f>
        <v>ｔ吊りトラッククレーン（ラフテレーンクレーン）を使用</v>
      </c>
      <c r="F48" s="206"/>
      <c r="G48" s="206"/>
      <c r="H48" s="206"/>
      <c r="I48" s="206"/>
      <c r="J48" s="206"/>
      <c r="K48" s="206"/>
      <c r="L48" s="148"/>
    </row>
    <row r="49" spans="2:20" ht="14.25" customHeight="1"/>
    <row r="50" spans="2:20" ht="14.25" customHeight="1"/>
    <row r="51" spans="2:20" ht="14.25" customHeight="1">
      <c r="B51" s="143" t="s">
        <v>843</v>
      </c>
    </row>
    <row r="52" spans="2:20" ht="14.25" customHeight="1"/>
    <row r="53" spans="2:20" ht="14.25" customHeight="1">
      <c r="B53" s="157" t="s">
        <v>839</v>
      </c>
    </row>
    <row r="54" spans="2:20" ht="14.25" customHeight="1">
      <c r="C54" s="155" t="s">
        <v>548</v>
      </c>
      <c r="D54" s="355" t="s">
        <v>844</v>
      </c>
      <c r="E54" s="155" t="s">
        <v>76</v>
      </c>
      <c r="F54" s="154" t="s">
        <v>845</v>
      </c>
      <c r="G54" s="154" t="s">
        <v>628</v>
      </c>
      <c r="H54" s="156">
        <f>'[1]基本 (1)'!E21</f>
        <v>0</v>
      </c>
      <c r="I54" s="154" t="s">
        <v>833</v>
      </c>
      <c r="J54" s="210">
        <f>'[1]日数 (1)'!M483</f>
        <v>22.6</v>
      </c>
      <c r="K54" s="154" t="s">
        <v>628</v>
      </c>
      <c r="L54" s="210">
        <f>H54+J54</f>
        <v>22.6</v>
      </c>
      <c r="M54" s="260" t="s">
        <v>7</v>
      </c>
      <c r="N54" s="155" t="s">
        <v>393</v>
      </c>
      <c r="O54" s="155" t="s">
        <v>548</v>
      </c>
      <c r="P54" s="165">
        <f>ROUNDUP(L54/5,0)*5</f>
        <v>25</v>
      </c>
      <c r="Q54" s="166" t="s">
        <v>824</v>
      </c>
    </row>
    <row r="55" spans="2:20" ht="14.25" customHeight="1">
      <c r="O55" s="157" t="s">
        <v>808</v>
      </c>
    </row>
    <row r="56" spans="2:20" ht="14.25" customHeight="1">
      <c r="C56" s="337" t="s">
        <v>809</v>
      </c>
      <c r="D56" s="322" t="s">
        <v>811</v>
      </c>
      <c r="E56" s="323">
        <v>10</v>
      </c>
      <c r="F56" s="323"/>
      <c r="G56" s="337" t="s">
        <v>182</v>
      </c>
      <c r="H56" s="322" t="s">
        <v>811</v>
      </c>
      <c r="I56" s="323">
        <v>10</v>
      </c>
      <c r="J56" s="323"/>
      <c r="K56" s="323"/>
      <c r="L56" s="323"/>
      <c r="M56" s="323"/>
      <c r="N56" s="323"/>
      <c r="O56" s="337" t="s">
        <v>182</v>
      </c>
      <c r="P56" s="348">
        <f>ROUND(DEGREES(ATAN(10/(1.5+K57/2))),1)</f>
        <v>80.099999999999994</v>
      </c>
      <c r="Q56" s="356" t="s">
        <v>812</v>
      </c>
      <c r="R56" s="337" t="str">
        <f>IF(P56&gt;S56,"＞","≦")</f>
        <v>＞</v>
      </c>
      <c r="S56" s="337">
        <v>75</v>
      </c>
      <c r="T56" s="356" t="s">
        <v>812</v>
      </c>
    </row>
    <row r="57" spans="2:20" ht="14.25" customHeight="1">
      <c r="C57" s="337"/>
      <c r="D57" s="322"/>
      <c r="E57" s="214" t="s">
        <v>813</v>
      </c>
      <c r="F57" s="214"/>
      <c r="G57" s="337"/>
      <c r="H57" s="337"/>
      <c r="I57" s="155">
        <v>1.5</v>
      </c>
      <c r="J57" s="176" t="s">
        <v>846</v>
      </c>
      <c r="K57" s="208">
        <v>0.5</v>
      </c>
      <c r="L57" s="154" t="s">
        <v>815</v>
      </c>
      <c r="M57" s="155">
        <v>2</v>
      </c>
      <c r="N57" s="157" t="s">
        <v>816</v>
      </c>
      <c r="O57" s="337"/>
      <c r="P57" s="348"/>
      <c r="Q57" s="357"/>
      <c r="R57" s="337"/>
      <c r="S57" s="337"/>
      <c r="T57" s="357"/>
    </row>
    <row r="58" spans="2:20" ht="14.25" customHeight="1"/>
    <row r="59" spans="2:20" ht="14.25" customHeight="1">
      <c r="D59" s="154" t="s">
        <v>817</v>
      </c>
      <c r="E59" s="157" t="s">
        <v>818</v>
      </c>
    </row>
    <row r="60" spans="2:20" ht="14.25" customHeight="1"/>
    <row r="61" spans="2:20" ht="14.25" customHeight="1" thickBot="1">
      <c r="C61" s="154" t="s">
        <v>819</v>
      </c>
      <c r="D61" s="188">
        <f>IF(P56&gt;75,S56,P56)</f>
        <v>75</v>
      </c>
      <c r="E61" s="163" t="s">
        <v>812</v>
      </c>
    </row>
    <row r="62" spans="2:20" ht="14.25" customHeight="1"/>
    <row r="63" spans="2:20" ht="14.25" customHeight="1">
      <c r="C63" s="155" t="s">
        <v>820</v>
      </c>
      <c r="D63" s="358" t="s">
        <v>821</v>
      </c>
      <c r="I63" s="154" t="s">
        <v>822</v>
      </c>
      <c r="J63" s="296" t="s">
        <v>847</v>
      </c>
      <c r="K63" s="296"/>
      <c r="L63" s="154" t="s">
        <v>628</v>
      </c>
      <c r="M63" s="210">
        <v>0</v>
      </c>
      <c r="N63" s="157" t="s">
        <v>824</v>
      </c>
      <c r="O63" s="155" t="str">
        <f>IF(M63&gt;P63,"＞","≦")</f>
        <v>≦</v>
      </c>
      <c r="P63" s="158">
        <v>8</v>
      </c>
      <c r="Q63" s="157" t="s">
        <v>824</v>
      </c>
    </row>
    <row r="64" spans="2:20" ht="14.25" customHeight="1"/>
    <row r="65" spans="2:16" ht="14.25" customHeight="1">
      <c r="C65" s="155" t="s">
        <v>182</v>
      </c>
      <c r="D65" s="158">
        <v>-1</v>
      </c>
      <c r="E65" s="155" t="s">
        <v>473</v>
      </c>
      <c r="F65" s="156">
        <f>P54</f>
        <v>25</v>
      </c>
      <c r="G65" s="155" t="s">
        <v>5</v>
      </c>
      <c r="H65" s="155">
        <v>8</v>
      </c>
      <c r="I65" s="155" t="s">
        <v>825</v>
      </c>
      <c r="J65" s="155" t="s">
        <v>826</v>
      </c>
      <c r="K65" s="156">
        <f>D61</f>
        <v>75</v>
      </c>
      <c r="L65" s="154" t="s">
        <v>848</v>
      </c>
      <c r="M65" s="156">
        <f>IF(M63&lt;=P63,M63,P63)</f>
        <v>0</v>
      </c>
    </row>
    <row r="66" spans="2:16" ht="14.25" customHeight="1"/>
    <row r="67" spans="2:16" ht="14.25" customHeight="1">
      <c r="C67" s="155" t="s">
        <v>182</v>
      </c>
      <c r="D67" s="156">
        <f>ROUND(-1+(F65+H65)*(1/TAN((RADIANS(K65))))+M65,1)</f>
        <v>7.8</v>
      </c>
      <c r="E67" s="141" t="s">
        <v>7</v>
      </c>
      <c r="F67" s="154" t="s">
        <v>828</v>
      </c>
      <c r="G67" s="165">
        <f>IF(D67&lt;=8,8,ROUNDUP(D67,0))</f>
        <v>8</v>
      </c>
      <c r="H67" s="166" t="s">
        <v>824</v>
      </c>
    </row>
    <row r="68" spans="2:16" ht="14.25" customHeight="1"/>
    <row r="69" spans="2:16" ht="14.25" customHeight="1" thickBot="1">
      <c r="C69" s="154" t="s">
        <v>829</v>
      </c>
      <c r="D69" s="162">
        <f>G67</f>
        <v>8</v>
      </c>
      <c r="E69" s="163" t="s">
        <v>824</v>
      </c>
      <c r="F69" s="260"/>
      <c r="G69" s="260"/>
    </row>
    <row r="70" spans="2:16" ht="14.25" customHeight="1"/>
    <row r="71" spans="2:16" ht="14.25" customHeight="1">
      <c r="B71" s="157" t="s">
        <v>830</v>
      </c>
    </row>
    <row r="72" spans="2:16" ht="14.25" customHeight="1" thickBot="1">
      <c r="C72" s="155" t="s">
        <v>831</v>
      </c>
      <c r="D72" s="214" t="s">
        <v>849</v>
      </c>
      <c r="E72" s="214"/>
      <c r="F72" s="214"/>
      <c r="G72" s="154" t="s">
        <v>628</v>
      </c>
      <c r="H72" s="156">
        <f>ROUND('[1]日数 (1)'!E489/2,1)</f>
        <v>6</v>
      </c>
      <c r="I72" s="154" t="s">
        <v>833</v>
      </c>
      <c r="J72" s="213">
        <v>0.2</v>
      </c>
      <c r="K72" s="154" t="s">
        <v>628</v>
      </c>
      <c r="L72" s="210">
        <f>H72+J72</f>
        <v>6.2</v>
      </c>
      <c r="M72" s="157" t="s">
        <v>834</v>
      </c>
      <c r="N72" s="154" t="s">
        <v>828</v>
      </c>
      <c r="O72" s="359">
        <f>ROUNDUP(L72,0)</f>
        <v>7</v>
      </c>
      <c r="P72" s="163" t="s">
        <v>834</v>
      </c>
    </row>
    <row r="73" spans="2:16" ht="14.25" customHeight="1"/>
    <row r="74" spans="2:16" ht="14.25" customHeight="1">
      <c r="C74" s="214" t="s">
        <v>850</v>
      </c>
      <c r="D74" s="214"/>
      <c r="E74" s="214"/>
      <c r="F74" s="214"/>
      <c r="G74" s="214"/>
      <c r="H74" s="214"/>
      <c r="I74" s="360" t="str">
        <f>IF($P$54&lt;=5,"表2-3-2",IF($P$54&lt;=10,"表2-3-3",IF($P$54&lt;=15,"表2-3-4",IF($P$54&lt;=20,"表2-3-5",IF($P$54&lt;=25,"表2-3-6","表2-3-7")))))</f>
        <v>表2-3-6</v>
      </c>
      <c r="J74" s="360"/>
      <c r="K74" s="157" t="s">
        <v>837</v>
      </c>
    </row>
    <row r="75" spans="2:16" ht="14.25" customHeight="1"/>
    <row r="76" spans="2:16" ht="14.25" customHeight="1" thickBot="1">
      <c r="D76" s="188">
        <v>45</v>
      </c>
      <c r="E76" s="163" t="str">
        <f>IF(D76&gt;100,"ｔ吊りトラッククレーン（油圧式）を使用","ｔ吊りトラッククレーン（ラフテレーンクレーン）を使用")</f>
        <v>ｔ吊りトラッククレーン（ラフテレーンクレーン）を使用</v>
      </c>
      <c r="F76" s="206"/>
      <c r="G76" s="206"/>
      <c r="H76" s="206"/>
      <c r="I76" s="206"/>
      <c r="J76" s="206"/>
      <c r="K76" s="206"/>
      <c r="L76" s="148"/>
    </row>
    <row r="77" spans="2:16" ht="14.25" customHeight="1"/>
    <row r="78" spans="2:16" ht="14.25" customHeight="1"/>
    <row r="79" spans="2:16" ht="14.25" customHeight="1">
      <c r="B79" s="143" t="s">
        <v>851</v>
      </c>
    </row>
    <row r="80" spans="2:16" ht="14.25" customHeight="1"/>
    <row r="81" spans="2:11" ht="14.25" customHeight="1">
      <c r="C81" s="296" t="s">
        <v>852</v>
      </c>
      <c r="D81" s="361"/>
      <c r="E81" s="154" t="s">
        <v>853</v>
      </c>
      <c r="F81" s="156">
        <v>0</v>
      </c>
      <c r="G81" s="157" t="s">
        <v>824</v>
      </c>
      <c r="H81" s="141" t="s">
        <v>854</v>
      </c>
    </row>
    <row r="82" spans="2:11" ht="14.25" customHeight="1"/>
    <row r="83" spans="2:11" ht="14.25" customHeight="1" thickBot="1">
      <c r="D83" s="192">
        <f>IF(F81&lt;=7,35,IF(F81&lt;=15,50,IF(F81&lt;=21,100,120)))</f>
        <v>35</v>
      </c>
      <c r="E83" s="163" t="str">
        <f>IF(D83&gt;100,"ｔ吊りトラッククレーン（油圧式）を使用","ｔ吊りトラッククレーン（ラフテレーンクレーン）を使用")</f>
        <v>ｔ吊りトラッククレーン（ラフテレーンクレーン）を使用</v>
      </c>
      <c r="F83" s="206"/>
      <c r="G83" s="206"/>
      <c r="H83" s="206"/>
      <c r="I83" s="206"/>
      <c r="J83" s="206"/>
      <c r="K83" s="206"/>
    </row>
    <row r="84" spans="2:11" ht="14.25" customHeight="1"/>
    <row r="85" spans="2:11" ht="14.25" customHeight="1"/>
    <row r="86" spans="2:11" ht="14.25" hidden="1" customHeight="1">
      <c r="B86" s="143" t="s">
        <v>855</v>
      </c>
    </row>
    <row r="87" spans="2:11" ht="14.25" hidden="1" customHeight="1"/>
    <row r="88" spans="2:11" ht="14.25" hidden="1" customHeight="1">
      <c r="C88" s="296" t="s">
        <v>852</v>
      </c>
      <c r="D88" s="361"/>
      <c r="E88" s="154" t="s">
        <v>853</v>
      </c>
      <c r="F88" s="156"/>
      <c r="G88" s="157" t="s">
        <v>824</v>
      </c>
    </row>
    <row r="89" spans="2:11" ht="14.25" hidden="1" customHeight="1"/>
    <row r="90" spans="2:11" ht="14.25" hidden="1" customHeight="1">
      <c r="D90" s="192">
        <f>IF(F88&lt;=15,50,IF(F88&lt;=30,100,120))</f>
        <v>50</v>
      </c>
      <c r="E90" s="163" t="str">
        <f>IF(D90&gt;100,"ｔ吊りトラッククレーン（油圧式）を使用","ｔ吊りトラッククレーン（ラフテレーンクレーン）を使用")</f>
        <v>ｔ吊りトラッククレーン（ラフテレーンクレーン）を使用</v>
      </c>
      <c r="F90" s="206"/>
      <c r="G90" s="206"/>
      <c r="H90" s="206"/>
      <c r="I90" s="206"/>
      <c r="J90" s="206"/>
      <c r="K90" s="206"/>
    </row>
    <row r="91" spans="2:11" ht="14.25" customHeight="1"/>
    <row r="92" spans="2:11" ht="14.25" customHeight="1"/>
    <row r="93" spans="2:11" ht="14.25" customHeight="1"/>
    <row r="94" spans="2:11" ht="14.25" customHeight="1"/>
    <row r="95" spans="2:11" ht="14.25" customHeight="1"/>
    <row r="96" spans="2:11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</sheetData>
  <mergeCells count="39">
    <mergeCell ref="J63:K63"/>
    <mergeCell ref="D72:F72"/>
    <mergeCell ref="C74:H74"/>
    <mergeCell ref="I74:J74"/>
    <mergeCell ref="C81:D81"/>
    <mergeCell ref="C88:D88"/>
    <mergeCell ref="O56:O57"/>
    <mergeCell ref="P56:P57"/>
    <mergeCell ref="Q56:Q57"/>
    <mergeCell ref="R56:R57"/>
    <mergeCell ref="S56:S57"/>
    <mergeCell ref="T56:T57"/>
    <mergeCell ref="C56:C57"/>
    <mergeCell ref="D56:D57"/>
    <mergeCell ref="E56:F56"/>
    <mergeCell ref="G56:G57"/>
    <mergeCell ref="H56:H57"/>
    <mergeCell ref="I56:N56"/>
    <mergeCell ref="E57:F57"/>
    <mergeCell ref="J20:K20"/>
    <mergeCell ref="D29:F29"/>
    <mergeCell ref="C31:H31"/>
    <mergeCell ref="I31:J31"/>
    <mergeCell ref="D44:F44"/>
    <mergeCell ref="C46:H46"/>
    <mergeCell ref="I46:J46"/>
    <mergeCell ref="O13:O14"/>
    <mergeCell ref="P13:P14"/>
    <mergeCell ref="Q13:Q14"/>
    <mergeCell ref="R13:R14"/>
    <mergeCell ref="S13:S14"/>
    <mergeCell ref="T13:T14"/>
    <mergeCell ref="C13:C14"/>
    <mergeCell ref="D13:D14"/>
    <mergeCell ref="E13:F13"/>
    <mergeCell ref="G13:G14"/>
    <mergeCell ref="H13:H14"/>
    <mergeCell ref="I13:N13"/>
    <mergeCell ref="E14:F14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7"/>
  <sheetViews>
    <sheetView workbookViewId="0"/>
  </sheetViews>
  <sheetFormatPr defaultColWidth="3.625" defaultRowHeight="12"/>
  <cols>
    <col min="1" max="7" width="3.625" style="363" customWidth="1"/>
    <col min="8" max="10" width="4.625" style="363" customWidth="1"/>
    <col min="11" max="16" width="3.625" style="363" customWidth="1"/>
    <col min="17" max="18" width="4.125" style="363" hidden="1" customWidth="1"/>
    <col min="19" max="34" width="4.125" style="363" customWidth="1"/>
    <col min="35" max="48" width="4.125" style="363" hidden="1" customWidth="1"/>
    <col min="49" max="50" width="4.125" style="363" customWidth="1"/>
    <col min="51" max="52" width="4.125" style="363" hidden="1" customWidth="1"/>
    <col min="53" max="62" width="4.125" style="363" customWidth="1"/>
    <col min="63" max="64" width="4.125" style="363" hidden="1" customWidth="1"/>
    <col min="65" max="68" width="4.125" style="363" customWidth="1"/>
    <col min="69" max="256" width="3.625" style="363"/>
    <col min="257" max="263" width="3.625" style="363" customWidth="1"/>
    <col min="264" max="266" width="4.625" style="363" customWidth="1"/>
    <col min="267" max="272" width="3.625" style="363" customWidth="1"/>
    <col min="273" max="274" width="0" style="363" hidden="1" customWidth="1"/>
    <col min="275" max="290" width="4.125" style="363" customWidth="1"/>
    <col min="291" max="304" width="0" style="363" hidden="1" customWidth="1"/>
    <col min="305" max="306" width="4.125" style="363" customWidth="1"/>
    <col min="307" max="308" width="0" style="363" hidden="1" customWidth="1"/>
    <col min="309" max="318" width="4.125" style="363" customWidth="1"/>
    <col min="319" max="320" width="0" style="363" hidden="1" customWidth="1"/>
    <col min="321" max="324" width="4.125" style="363" customWidth="1"/>
    <col min="325" max="512" width="3.625" style="363"/>
    <col min="513" max="519" width="3.625" style="363" customWidth="1"/>
    <col min="520" max="522" width="4.625" style="363" customWidth="1"/>
    <col min="523" max="528" width="3.625" style="363" customWidth="1"/>
    <col min="529" max="530" width="0" style="363" hidden="1" customWidth="1"/>
    <col min="531" max="546" width="4.125" style="363" customWidth="1"/>
    <col min="547" max="560" width="0" style="363" hidden="1" customWidth="1"/>
    <col min="561" max="562" width="4.125" style="363" customWidth="1"/>
    <col min="563" max="564" width="0" style="363" hidden="1" customWidth="1"/>
    <col min="565" max="574" width="4.125" style="363" customWidth="1"/>
    <col min="575" max="576" width="0" style="363" hidden="1" customWidth="1"/>
    <col min="577" max="580" width="4.125" style="363" customWidth="1"/>
    <col min="581" max="768" width="3.625" style="363"/>
    <col min="769" max="775" width="3.625" style="363" customWidth="1"/>
    <col min="776" max="778" width="4.625" style="363" customWidth="1"/>
    <col min="779" max="784" width="3.625" style="363" customWidth="1"/>
    <col min="785" max="786" width="0" style="363" hidden="1" customWidth="1"/>
    <col min="787" max="802" width="4.125" style="363" customWidth="1"/>
    <col min="803" max="816" width="0" style="363" hidden="1" customWidth="1"/>
    <col min="817" max="818" width="4.125" style="363" customWidth="1"/>
    <col min="819" max="820" width="0" style="363" hidden="1" customWidth="1"/>
    <col min="821" max="830" width="4.125" style="363" customWidth="1"/>
    <col min="831" max="832" width="0" style="363" hidden="1" customWidth="1"/>
    <col min="833" max="836" width="4.125" style="363" customWidth="1"/>
    <col min="837" max="1024" width="3.625" style="363"/>
    <col min="1025" max="1031" width="3.625" style="363" customWidth="1"/>
    <col min="1032" max="1034" width="4.625" style="363" customWidth="1"/>
    <col min="1035" max="1040" width="3.625" style="363" customWidth="1"/>
    <col min="1041" max="1042" width="0" style="363" hidden="1" customWidth="1"/>
    <col min="1043" max="1058" width="4.125" style="363" customWidth="1"/>
    <col min="1059" max="1072" width="0" style="363" hidden="1" customWidth="1"/>
    <col min="1073" max="1074" width="4.125" style="363" customWidth="1"/>
    <col min="1075" max="1076" width="0" style="363" hidden="1" customWidth="1"/>
    <col min="1077" max="1086" width="4.125" style="363" customWidth="1"/>
    <col min="1087" max="1088" width="0" style="363" hidden="1" customWidth="1"/>
    <col min="1089" max="1092" width="4.125" style="363" customWidth="1"/>
    <col min="1093" max="1280" width="3.625" style="363"/>
    <col min="1281" max="1287" width="3.625" style="363" customWidth="1"/>
    <col min="1288" max="1290" width="4.625" style="363" customWidth="1"/>
    <col min="1291" max="1296" width="3.625" style="363" customWidth="1"/>
    <col min="1297" max="1298" width="0" style="363" hidden="1" customWidth="1"/>
    <col min="1299" max="1314" width="4.125" style="363" customWidth="1"/>
    <col min="1315" max="1328" width="0" style="363" hidden="1" customWidth="1"/>
    <col min="1329" max="1330" width="4.125" style="363" customWidth="1"/>
    <col min="1331" max="1332" width="0" style="363" hidden="1" customWidth="1"/>
    <col min="1333" max="1342" width="4.125" style="363" customWidth="1"/>
    <col min="1343" max="1344" width="0" style="363" hidden="1" customWidth="1"/>
    <col min="1345" max="1348" width="4.125" style="363" customWidth="1"/>
    <col min="1349" max="1536" width="3.625" style="363"/>
    <col min="1537" max="1543" width="3.625" style="363" customWidth="1"/>
    <col min="1544" max="1546" width="4.625" style="363" customWidth="1"/>
    <col min="1547" max="1552" width="3.625" style="363" customWidth="1"/>
    <col min="1553" max="1554" width="0" style="363" hidden="1" customWidth="1"/>
    <col min="1555" max="1570" width="4.125" style="363" customWidth="1"/>
    <col min="1571" max="1584" width="0" style="363" hidden="1" customWidth="1"/>
    <col min="1585" max="1586" width="4.125" style="363" customWidth="1"/>
    <col min="1587" max="1588" width="0" style="363" hidden="1" customWidth="1"/>
    <col min="1589" max="1598" width="4.125" style="363" customWidth="1"/>
    <col min="1599" max="1600" width="0" style="363" hidden="1" customWidth="1"/>
    <col min="1601" max="1604" width="4.125" style="363" customWidth="1"/>
    <col min="1605" max="1792" width="3.625" style="363"/>
    <col min="1793" max="1799" width="3.625" style="363" customWidth="1"/>
    <col min="1800" max="1802" width="4.625" style="363" customWidth="1"/>
    <col min="1803" max="1808" width="3.625" style="363" customWidth="1"/>
    <col min="1809" max="1810" width="0" style="363" hidden="1" customWidth="1"/>
    <col min="1811" max="1826" width="4.125" style="363" customWidth="1"/>
    <col min="1827" max="1840" width="0" style="363" hidden="1" customWidth="1"/>
    <col min="1841" max="1842" width="4.125" style="363" customWidth="1"/>
    <col min="1843" max="1844" width="0" style="363" hidden="1" customWidth="1"/>
    <col min="1845" max="1854" width="4.125" style="363" customWidth="1"/>
    <col min="1855" max="1856" width="0" style="363" hidden="1" customWidth="1"/>
    <col min="1857" max="1860" width="4.125" style="363" customWidth="1"/>
    <col min="1861" max="2048" width="3.625" style="363"/>
    <col min="2049" max="2055" width="3.625" style="363" customWidth="1"/>
    <col min="2056" max="2058" width="4.625" style="363" customWidth="1"/>
    <col min="2059" max="2064" width="3.625" style="363" customWidth="1"/>
    <col min="2065" max="2066" width="0" style="363" hidden="1" customWidth="1"/>
    <col min="2067" max="2082" width="4.125" style="363" customWidth="1"/>
    <col min="2083" max="2096" width="0" style="363" hidden="1" customWidth="1"/>
    <col min="2097" max="2098" width="4.125" style="363" customWidth="1"/>
    <col min="2099" max="2100" width="0" style="363" hidden="1" customWidth="1"/>
    <col min="2101" max="2110" width="4.125" style="363" customWidth="1"/>
    <col min="2111" max="2112" width="0" style="363" hidden="1" customWidth="1"/>
    <col min="2113" max="2116" width="4.125" style="363" customWidth="1"/>
    <col min="2117" max="2304" width="3.625" style="363"/>
    <col min="2305" max="2311" width="3.625" style="363" customWidth="1"/>
    <col min="2312" max="2314" width="4.625" style="363" customWidth="1"/>
    <col min="2315" max="2320" width="3.625" style="363" customWidth="1"/>
    <col min="2321" max="2322" width="0" style="363" hidden="1" customWidth="1"/>
    <col min="2323" max="2338" width="4.125" style="363" customWidth="1"/>
    <col min="2339" max="2352" width="0" style="363" hidden="1" customWidth="1"/>
    <col min="2353" max="2354" width="4.125" style="363" customWidth="1"/>
    <col min="2355" max="2356" width="0" style="363" hidden="1" customWidth="1"/>
    <col min="2357" max="2366" width="4.125" style="363" customWidth="1"/>
    <col min="2367" max="2368" width="0" style="363" hidden="1" customWidth="1"/>
    <col min="2369" max="2372" width="4.125" style="363" customWidth="1"/>
    <col min="2373" max="2560" width="3.625" style="363"/>
    <col min="2561" max="2567" width="3.625" style="363" customWidth="1"/>
    <col min="2568" max="2570" width="4.625" style="363" customWidth="1"/>
    <col min="2571" max="2576" width="3.625" style="363" customWidth="1"/>
    <col min="2577" max="2578" width="0" style="363" hidden="1" customWidth="1"/>
    <col min="2579" max="2594" width="4.125" style="363" customWidth="1"/>
    <col min="2595" max="2608" width="0" style="363" hidden="1" customWidth="1"/>
    <col min="2609" max="2610" width="4.125" style="363" customWidth="1"/>
    <col min="2611" max="2612" width="0" style="363" hidden="1" customWidth="1"/>
    <col min="2613" max="2622" width="4.125" style="363" customWidth="1"/>
    <col min="2623" max="2624" width="0" style="363" hidden="1" customWidth="1"/>
    <col min="2625" max="2628" width="4.125" style="363" customWidth="1"/>
    <col min="2629" max="2816" width="3.625" style="363"/>
    <col min="2817" max="2823" width="3.625" style="363" customWidth="1"/>
    <col min="2824" max="2826" width="4.625" style="363" customWidth="1"/>
    <col min="2827" max="2832" width="3.625" style="363" customWidth="1"/>
    <col min="2833" max="2834" width="0" style="363" hidden="1" customWidth="1"/>
    <col min="2835" max="2850" width="4.125" style="363" customWidth="1"/>
    <col min="2851" max="2864" width="0" style="363" hidden="1" customWidth="1"/>
    <col min="2865" max="2866" width="4.125" style="363" customWidth="1"/>
    <col min="2867" max="2868" width="0" style="363" hidden="1" customWidth="1"/>
    <col min="2869" max="2878" width="4.125" style="363" customWidth="1"/>
    <col min="2879" max="2880" width="0" style="363" hidden="1" customWidth="1"/>
    <col min="2881" max="2884" width="4.125" style="363" customWidth="1"/>
    <col min="2885" max="3072" width="3.625" style="363"/>
    <col min="3073" max="3079" width="3.625" style="363" customWidth="1"/>
    <col min="3080" max="3082" width="4.625" style="363" customWidth="1"/>
    <col min="3083" max="3088" width="3.625" style="363" customWidth="1"/>
    <col min="3089" max="3090" width="0" style="363" hidden="1" customWidth="1"/>
    <col min="3091" max="3106" width="4.125" style="363" customWidth="1"/>
    <col min="3107" max="3120" width="0" style="363" hidden="1" customWidth="1"/>
    <col min="3121" max="3122" width="4.125" style="363" customWidth="1"/>
    <col min="3123" max="3124" width="0" style="363" hidden="1" customWidth="1"/>
    <col min="3125" max="3134" width="4.125" style="363" customWidth="1"/>
    <col min="3135" max="3136" width="0" style="363" hidden="1" customWidth="1"/>
    <col min="3137" max="3140" width="4.125" style="363" customWidth="1"/>
    <col min="3141" max="3328" width="3.625" style="363"/>
    <col min="3329" max="3335" width="3.625" style="363" customWidth="1"/>
    <col min="3336" max="3338" width="4.625" style="363" customWidth="1"/>
    <col min="3339" max="3344" width="3.625" style="363" customWidth="1"/>
    <col min="3345" max="3346" width="0" style="363" hidden="1" customWidth="1"/>
    <col min="3347" max="3362" width="4.125" style="363" customWidth="1"/>
    <col min="3363" max="3376" width="0" style="363" hidden="1" customWidth="1"/>
    <col min="3377" max="3378" width="4.125" style="363" customWidth="1"/>
    <col min="3379" max="3380" width="0" style="363" hidden="1" customWidth="1"/>
    <col min="3381" max="3390" width="4.125" style="363" customWidth="1"/>
    <col min="3391" max="3392" width="0" style="363" hidden="1" customWidth="1"/>
    <col min="3393" max="3396" width="4.125" style="363" customWidth="1"/>
    <col min="3397" max="3584" width="3.625" style="363"/>
    <col min="3585" max="3591" width="3.625" style="363" customWidth="1"/>
    <col min="3592" max="3594" width="4.625" style="363" customWidth="1"/>
    <col min="3595" max="3600" width="3.625" style="363" customWidth="1"/>
    <col min="3601" max="3602" width="0" style="363" hidden="1" customWidth="1"/>
    <col min="3603" max="3618" width="4.125" style="363" customWidth="1"/>
    <col min="3619" max="3632" width="0" style="363" hidden="1" customWidth="1"/>
    <col min="3633" max="3634" width="4.125" style="363" customWidth="1"/>
    <col min="3635" max="3636" width="0" style="363" hidden="1" customWidth="1"/>
    <col min="3637" max="3646" width="4.125" style="363" customWidth="1"/>
    <col min="3647" max="3648" width="0" style="363" hidden="1" customWidth="1"/>
    <col min="3649" max="3652" width="4.125" style="363" customWidth="1"/>
    <col min="3653" max="3840" width="3.625" style="363"/>
    <col min="3841" max="3847" width="3.625" style="363" customWidth="1"/>
    <col min="3848" max="3850" width="4.625" style="363" customWidth="1"/>
    <col min="3851" max="3856" width="3.625" style="363" customWidth="1"/>
    <col min="3857" max="3858" width="0" style="363" hidden="1" customWidth="1"/>
    <col min="3859" max="3874" width="4.125" style="363" customWidth="1"/>
    <col min="3875" max="3888" width="0" style="363" hidden="1" customWidth="1"/>
    <col min="3889" max="3890" width="4.125" style="363" customWidth="1"/>
    <col min="3891" max="3892" width="0" style="363" hidden="1" customWidth="1"/>
    <col min="3893" max="3902" width="4.125" style="363" customWidth="1"/>
    <col min="3903" max="3904" width="0" style="363" hidden="1" customWidth="1"/>
    <col min="3905" max="3908" width="4.125" style="363" customWidth="1"/>
    <col min="3909" max="4096" width="3.625" style="363"/>
    <col min="4097" max="4103" width="3.625" style="363" customWidth="1"/>
    <col min="4104" max="4106" width="4.625" style="363" customWidth="1"/>
    <col min="4107" max="4112" width="3.625" style="363" customWidth="1"/>
    <col min="4113" max="4114" width="0" style="363" hidden="1" customWidth="1"/>
    <col min="4115" max="4130" width="4.125" style="363" customWidth="1"/>
    <col min="4131" max="4144" width="0" style="363" hidden="1" customWidth="1"/>
    <col min="4145" max="4146" width="4.125" style="363" customWidth="1"/>
    <col min="4147" max="4148" width="0" style="363" hidden="1" customWidth="1"/>
    <col min="4149" max="4158" width="4.125" style="363" customWidth="1"/>
    <col min="4159" max="4160" width="0" style="363" hidden="1" customWidth="1"/>
    <col min="4161" max="4164" width="4.125" style="363" customWidth="1"/>
    <col min="4165" max="4352" width="3.625" style="363"/>
    <col min="4353" max="4359" width="3.625" style="363" customWidth="1"/>
    <col min="4360" max="4362" width="4.625" style="363" customWidth="1"/>
    <col min="4363" max="4368" width="3.625" style="363" customWidth="1"/>
    <col min="4369" max="4370" width="0" style="363" hidden="1" customWidth="1"/>
    <col min="4371" max="4386" width="4.125" style="363" customWidth="1"/>
    <col min="4387" max="4400" width="0" style="363" hidden="1" customWidth="1"/>
    <col min="4401" max="4402" width="4.125" style="363" customWidth="1"/>
    <col min="4403" max="4404" width="0" style="363" hidden="1" customWidth="1"/>
    <col min="4405" max="4414" width="4.125" style="363" customWidth="1"/>
    <col min="4415" max="4416" width="0" style="363" hidden="1" customWidth="1"/>
    <col min="4417" max="4420" width="4.125" style="363" customWidth="1"/>
    <col min="4421" max="4608" width="3.625" style="363"/>
    <col min="4609" max="4615" width="3.625" style="363" customWidth="1"/>
    <col min="4616" max="4618" width="4.625" style="363" customWidth="1"/>
    <col min="4619" max="4624" width="3.625" style="363" customWidth="1"/>
    <col min="4625" max="4626" width="0" style="363" hidden="1" customWidth="1"/>
    <col min="4627" max="4642" width="4.125" style="363" customWidth="1"/>
    <col min="4643" max="4656" width="0" style="363" hidden="1" customWidth="1"/>
    <col min="4657" max="4658" width="4.125" style="363" customWidth="1"/>
    <col min="4659" max="4660" width="0" style="363" hidden="1" customWidth="1"/>
    <col min="4661" max="4670" width="4.125" style="363" customWidth="1"/>
    <col min="4671" max="4672" width="0" style="363" hidden="1" customWidth="1"/>
    <col min="4673" max="4676" width="4.125" style="363" customWidth="1"/>
    <col min="4677" max="4864" width="3.625" style="363"/>
    <col min="4865" max="4871" width="3.625" style="363" customWidth="1"/>
    <col min="4872" max="4874" width="4.625" style="363" customWidth="1"/>
    <col min="4875" max="4880" width="3.625" style="363" customWidth="1"/>
    <col min="4881" max="4882" width="0" style="363" hidden="1" customWidth="1"/>
    <col min="4883" max="4898" width="4.125" style="363" customWidth="1"/>
    <col min="4899" max="4912" width="0" style="363" hidden="1" customWidth="1"/>
    <col min="4913" max="4914" width="4.125" style="363" customWidth="1"/>
    <col min="4915" max="4916" width="0" style="363" hidden="1" customWidth="1"/>
    <col min="4917" max="4926" width="4.125" style="363" customWidth="1"/>
    <col min="4927" max="4928" width="0" style="363" hidden="1" customWidth="1"/>
    <col min="4929" max="4932" width="4.125" style="363" customWidth="1"/>
    <col min="4933" max="5120" width="3.625" style="363"/>
    <col min="5121" max="5127" width="3.625" style="363" customWidth="1"/>
    <col min="5128" max="5130" width="4.625" style="363" customWidth="1"/>
    <col min="5131" max="5136" width="3.625" style="363" customWidth="1"/>
    <col min="5137" max="5138" width="0" style="363" hidden="1" customWidth="1"/>
    <col min="5139" max="5154" width="4.125" style="363" customWidth="1"/>
    <col min="5155" max="5168" width="0" style="363" hidden="1" customWidth="1"/>
    <col min="5169" max="5170" width="4.125" style="363" customWidth="1"/>
    <col min="5171" max="5172" width="0" style="363" hidden="1" customWidth="1"/>
    <col min="5173" max="5182" width="4.125" style="363" customWidth="1"/>
    <col min="5183" max="5184" width="0" style="363" hidden="1" customWidth="1"/>
    <col min="5185" max="5188" width="4.125" style="363" customWidth="1"/>
    <col min="5189" max="5376" width="3.625" style="363"/>
    <col min="5377" max="5383" width="3.625" style="363" customWidth="1"/>
    <col min="5384" max="5386" width="4.625" style="363" customWidth="1"/>
    <col min="5387" max="5392" width="3.625" style="363" customWidth="1"/>
    <col min="5393" max="5394" width="0" style="363" hidden="1" customWidth="1"/>
    <col min="5395" max="5410" width="4.125" style="363" customWidth="1"/>
    <col min="5411" max="5424" width="0" style="363" hidden="1" customWidth="1"/>
    <col min="5425" max="5426" width="4.125" style="363" customWidth="1"/>
    <col min="5427" max="5428" width="0" style="363" hidden="1" customWidth="1"/>
    <col min="5429" max="5438" width="4.125" style="363" customWidth="1"/>
    <col min="5439" max="5440" width="0" style="363" hidden="1" customWidth="1"/>
    <col min="5441" max="5444" width="4.125" style="363" customWidth="1"/>
    <col min="5445" max="5632" width="3.625" style="363"/>
    <col min="5633" max="5639" width="3.625" style="363" customWidth="1"/>
    <col min="5640" max="5642" width="4.625" style="363" customWidth="1"/>
    <col min="5643" max="5648" width="3.625" style="363" customWidth="1"/>
    <col min="5649" max="5650" width="0" style="363" hidden="1" customWidth="1"/>
    <col min="5651" max="5666" width="4.125" style="363" customWidth="1"/>
    <col min="5667" max="5680" width="0" style="363" hidden="1" customWidth="1"/>
    <col min="5681" max="5682" width="4.125" style="363" customWidth="1"/>
    <col min="5683" max="5684" width="0" style="363" hidden="1" customWidth="1"/>
    <col min="5685" max="5694" width="4.125" style="363" customWidth="1"/>
    <col min="5695" max="5696" width="0" style="363" hidden="1" customWidth="1"/>
    <col min="5697" max="5700" width="4.125" style="363" customWidth="1"/>
    <col min="5701" max="5888" width="3.625" style="363"/>
    <col min="5889" max="5895" width="3.625" style="363" customWidth="1"/>
    <col min="5896" max="5898" width="4.625" style="363" customWidth="1"/>
    <col min="5899" max="5904" width="3.625" style="363" customWidth="1"/>
    <col min="5905" max="5906" width="0" style="363" hidden="1" customWidth="1"/>
    <col min="5907" max="5922" width="4.125" style="363" customWidth="1"/>
    <col min="5923" max="5936" width="0" style="363" hidden="1" customWidth="1"/>
    <col min="5937" max="5938" width="4.125" style="363" customWidth="1"/>
    <col min="5939" max="5940" width="0" style="363" hidden="1" customWidth="1"/>
    <col min="5941" max="5950" width="4.125" style="363" customWidth="1"/>
    <col min="5951" max="5952" width="0" style="363" hidden="1" customWidth="1"/>
    <col min="5953" max="5956" width="4.125" style="363" customWidth="1"/>
    <col min="5957" max="6144" width="3.625" style="363"/>
    <col min="6145" max="6151" width="3.625" style="363" customWidth="1"/>
    <col min="6152" max="6154" width="4.625" style="363" customWidth="1"/>
    <col min="6155" max="6160" width="3.625" style="363" customWidth="1"/>
    <col min="6161" max="6162" width="0" style="363" hidden="1" customWidth="1"/>
    <col min="6163" max="6178" width="4.125" style="363" customWidth="1"/>
    <col min="6179" max="6192" width="0" style="363" hidden="1" customWidth="1"/>
    <col min="6193" max="6194" width="4.125" style="363" customWidth="1"/>
    <col min="6195" max="6196" width="0" style="363" hidden="1" customWidth="1"/>
    <col min="6197" max="6206" width="4.125" style="363" customWidth="1"/>
    <col min="6207" max="6208" width="0" style="363" hidden="1" customWidth="1"/>
    <col min="6209" max="6212" width="4.125" style="363" customWidth="1"/>
    <col min="6213" max="6400" width="3.625" style="363"/>
    <col min="6401" max="6407" width="3.625" style="363" customWidth="1"/>
    <col min="6408" max="6410" width="4.625" style="363" customWidth="1"/>
    <col min="6411" max="6416" width="3.625" style="363" customWidth="1"/>
    <col min="6417" max="6418" width="0" style="363" hidden="1" customWidth="1"/>
    <col min="6419" max="6434" width="4.125" style="363" customWidth="1"/>
    <col min="6435" max="6448" width="0" style="363" hidden="1" customWidth="1"/>
    <col min="6449" max="6450" width="4.125" style="363" customWidth="1"/>
    <col min="6451" max="6452" width="0" style="363" hidden="1" customWidth="1"/>
    <col min="6453" max="6462" width="4.125" style="363" customWidth="1"/>
    <col min="6463" max="6464" width="0" style="363" hidden="1" customWidth="1"/>
    <col min="6465" max="6468" width="4.125" style="363" customWidth="1"/>
    <col min="6469" max="6656" width="3.625" style="363"/>
    <col min="6657" max="6663" width="3.625" style="363" customWidth="1"/>
    <col min="6664" max="6666" width="4.625" style="363" customWidth="1"/>
    <col min="6667" max="6672" width="3.625" style="363" customWidth="1"/>
    <col min="6673" max="6674" width="0" style="363" hidden="1" customWidth="1"/>
    <col min="6675" max="6690" width="4.125" style="363" customWidth="1"/>
    <col min="6691" max="6704" width="0" style="363" hidden="1" customWidth="1"/>
    <col min="6705" max="6706" width="4.125" style="363" customWidth="1"/>
    <col min="6707" max="6708" width="0" style="363" hidden="1" customWidth="1"/>
    <col min="6709" max="6718" width="4.125" style="363" customWidth="1"/>
    <col min="6719" max="6720" width="0" style="363" hidden="1" customWidth="1"/>
    <col min="6721" max="6724" width="4.125" style="363" customWidth="1"/>
    <col min="6725" max="6912" width="3.625" style="363"/>
    <col min="6913" max="6919" width="3.625" style="363" customWidth="1"/>
    <col min="6920" max="6922" width="4.625" style="363" customWidth="1"/>
    <col min="6923" max="6928" width="3.625" style="363" customWidth="1"/>
    <col min="6929" max="6930" width="0" style="363" hidden="1" customWidth="1"/>
    <col min="6931" max="6946" width="4.125" style="363" customWidth="1"/>
    <col min="6947" max="6960" width="0" style="363" hidden="1" customWidth="1"/>
    <col min="6961" max="6962" width="4.125" style="363" customWidth="1"/>
    <col min="6963" max="6964" width="0" style="363" hidden="1" customWidth="1"/>
    <col min="6965" max="6974" width="4.125" style="363" customWidth="1"/>
    <col min="6975" max="6976" width="0" style="363" hidden="1" customWidth="1"/>
    <col min="6977" max="6980" width="4.125" style="363" customWidth="1"/>
    <col min="6981" max="7168" width="3.625" style="363"/>
    <col min="7169" max="7175" width="3.625" style="363" customWidth="1"/>
    <col min="7176" max="7178" width="4.625" style="363" customWidth="1"/>
    <col min="7179" max="7184" width="3.625" style="363" customWidth="1"/>
    <col min="7185" max="7186" width="0" style="363" hidden="1" customWidth="1"/>
    <col min="7187" max="7202" width="4.125" style="363" customWidth="1"/>
    <col min="7203" max="7216" width="0" style="363" hidden="1" customWidth="1"/>
    <col min="7217" max="7218" width="4.125" style="363" customWidth="1"/>
    <col min="7219" max="7220" width="0" style="363" hidden="1" customWidth="1"/>
    <col min="7221" max="7230" width="4.125" style="363" customWidth="1"/>
    <col min="7231" max="7232" width="0" style="363" hidden="1" customWidth="1"/>
    <col min="7233" max="7236" width="4.125" style="363" customWidth="1"/>
    <col min="7237" max="7424" width="3.625" style="363"/>
    <col min="7425" max="7431" width="3.625" style="363" customWidth="1"/>
    <col min="7432" max="7434" width="4.625" style="363" customWidth="1"/>
    <col min="7435" max="7440" width="3.625" style="363" customWidth="1"/>
    <col min="7441" max="7442" width="0" style="363" hidden="1" customWidth="1"/>
    <col min="7443" max="7458" width="4.125" style="363" customWidth="1"/>
    <col min="7459" max="7472" width="0" style="363" hidden="1" customWidth="1"/>
    <col min="7473" max="7474" width="4.125" style="363" customWidth="1"/>
    <col min="7475" max="7476" width="0" style="363" hidden="1" customWidth="1"/>
    <col min="7477" max="7486" width="4.125" style="363" customWidth="1"/>
    <col min="7487" max="7488" width="0" style="363" hidden="1" customWidth="1"/>
    <col min="7489" max="7492" width="4.125" style="363" customWidth="1"/>
    <col min="7493" max="7680" width="3.625" style="363"/>
    <col min="7681" max="7687" width="3.625" style="363" customWidth="1"/>
    <col min="7688" max="7690" width="4.625" style="363" customWidth="1"/>
    <col min="7691" max="7696" width="3.625" style="363" customWidth="1"/>
    <col min="7697" max="7698" width="0" style="363" hidden="1" customWidth="1"/>
    <col min="7699" max="7714" width="4.125" style="363" customWidth="1"/>
    <col min="7715" max="7728" width="0" style="363" hidden="1" customWidth="1"/>
    <col min="7729" max="7730" width="4.125" style="363" customWidth="1"/>
    <col min="7731" max="7732" width="0" style="363" hidden="1" customWidth="1"/>
    <col min="7733" max="7742" width="4.125" style="363" customWidth="1"/>
    <col min="7743" max="7744" width="0" style="363" hidden="1" customWidth="1"/>
    <col min="7745" max="7748" width="4.125" style="363" customWidth="1"/>
    <col min="7749" max="7936" width="3.625" style="363"/>
    <col min="7937" max="7943" width="3.625" style="363" customWidth="1"/>
    <col min="7944" max="7946" width="4.625" style="363" customWidth="1"/>
    <col min="7947" max="7952" width="3.625" style="363" customWidth="1"/>
    <col min="7953" max="7954" width="0" style="363" hidden="1" customWidth="1"/>
    <col min="7955" max="7970" width="4.125" style="363" customWidth="1"/>
    <col min="7971" max="7984" width="0" style="363" hidden="1" customWidth="1"/>
    <col min="7985" max="7986" width="4.125" style="363" customWidth="1"/>
    <col min="7987" max="7988" width="0" style="363" hidden="1" customWidth="1"/>
    <col min="7989" max="7998" width="4.125" style="363" customWidth="1"/>
    <col min="7999" max="8000" width="0" style="363" hidden="1" customWidth="1"/>
    <col min="8001" max="8004" width="4.125" style="363" customWidth="1"/>
    <col min="8005" max="8192" width="3.625" style="363"/>
    <col min="8193" max="8199" width="3.625" style="363" customWidth="1"/>
    <col min="8200" max="8202" width="4.625" style="363" customWidth="1"/>
    <col min="8203" max="8208" width="3.625" style="363" customWidth="1"/>
    <col min="8209" max="8210" width="0" style="363" hidden="1" customWidth="1"/>
    <col min="8211" max="8226" width="4.125" style="363" customWidth="1"/>
    <col min="8227" max="8240" width="0" style="363" hidden="1" customWidth="1"/>
    <col min="8241" max="8242" width="4.125" style="363" customWidth="1"/>
    <col min="8243" max="8244" width="0" style="363" hidden="1" customWidth="1"/>
    <col min="8245" max="8254" width="4.125" style="363" customWidth="1"/>
    <col min="8255" max="8256" width="0" style="363" hidden="1" customWidth="1"/>
    <col min="8257" max="8260" width="4.125" style="363" customWidth="1"/>
    <col min="8261" max="8448" width="3.625" style="363"/>
    <col min="8449" max="8455" width="3.625" style="363" customWidth="1"/>
    <col min="8456" max="8458" width="4.625" style="363" customWidth="1"/>
    <col min="8459" max="8464" width="3.625" style="363" customWidth="1"/>
    <col min="8465" max="8466" width="0" style="363" hidden="1" customWidth="1"/>
    <col min="8467" max="8482" width="4.125" style="363" customWidth="1"/>
    <col min="8483" max="8496" width="0" style="363" hidden="1" customWidth="1"/>
    <col min="8497" max="8498" width="4.125" style="363" customWidth="1"/>
    <col min="8499" max="8500" width="0" style="363" hidden="1" customWidth="1"/>
    <col min="8501" max="8510" width="4.125" style="363" customWidth="1"/>
    <col min="8511" max="8512" width="0" style="363" hidden="1" customWidth="1"/>
    <col min="8513" max="8516" width="4.125" style="363" customWidth="1"/>
    <col min="8517" max="8704" width="3.625" style="363"/>
    <col min="8705" max="8711" width="3.625" style="363" customWidth="1"/>
    <col min="8712" max="8714" width="4.625" style="363" customWidth="1"/>
    <col min="8715" max="8720" width="3.625" style="363" customWidth="1"/>
    <col min="8721" max="8722" width="0" style="363" hidden="1" customWidth="1"/>
    <col min="8723" max="8738" width="4.125" style="363" customWidth="1"/>
    <col min="8739" max="8752" width="0" style="363" hidden="1" customWidth="1"/>
    <col min="8753" max="8754" width="4.125" style="363" customWidth="1"/>
    <col min="8755" max="8756" width="0" style="363" hidden="1" customWidth="1"/>
    <col min="8757" max="8766" width="4.125" style="363" customWidth="1"/>
    <col min="8767" max="8768" width="0" style="363" hidden="1" customWidth="1"/>
    <col min="8769" max="8772" width="4.125" style="363" customWidth="1"/>
    <col min="8773" max="8960" width="3.625" style="363"/>
    <col min="8961" max="8967" width="3.625" style="363" customWidth="1"/>
    <col min="8968" max="8970" width="4.625" style="363" customWidth="1"/>
    <col min="8971" max="8976" width="3.625" style="363" customWidth="1"/>
    <col min="8977" max="8978" width="0" style="363" hidden="1" customWidth="1"/>
    <col min="8979" max="8994" width="4.125" style="363" customWidth="1"/>
    <col min="8995" max="9008" width="0" style="363" hidden="1" customWidth="1"/>
    <col min="9009" max="9010" width="4.125" style="363" customWidth="1"/>
    <col min="9011" max="9012" width="0" style="363" hidden="1" customWidth="1"/>
    <col min="9013" max="9022" width="4.125" style="363" customWidth="1"/>
    <col min="9023" max="9024" width="0" style="363" hidden="1" customWidth="1"/>
    <col min="9025" max="9028" width="4.125" style="363" customWidth="1"/>
    <col min="9029" max="9216" width="3.625" style="363"/>
    <col min="9217" max="9223" width="3.625" style="363" customWidth="1"/>
    <col min="9224" max="9226" width="4.625" style="363" customWidth="1"/>
    <col min="9227" max="9232" width="3.625" style="363" customWidth="1"/>
    <col min="9233" max="9234" width="0" style="363" hidden="1" customWidth="1"/>
    <col min="9235" max="9250" width="4.125" style="363" customWidth="1"/>
    <col min="9251" max="9264" width="0" style="363" hidden="1" customWidth="1"/>
    <col min="9265" max="9266" width="4.125" style="363" customWidth="1"/>
    <col min="9267" max="9268" width="0" style="363" hidden="1" customWidth="1"/>
    <col min="9269" max="9278" width="4.125" style="363" customWidth="1"/>
    <col min="9279" max="9280" width="0" style="363" hidden="1" customWidth="1"/>
    <col min="9281" max="9284" width="4.125" style="363" customWidth="1"/>
    <col min="9285" max="9472" width="3.625" style="363"/>
    <col min="9473" max="9479" width="3.625" style="363" customWidth="1"/>
    <col min="9480" max="9482" width="4.625" style="363" customWidth="1"/>
    <col min="9483" max="9488" width="3.625" style="363" customWidth="1"/>
    <col min="9489" max="9490" width="0" style="363" hidden="1" customWidth="1"/>
    <col min="9491" max="9506" width="4.125" style="363" customWidth="1"/>
    <col min="9507" max="9520" width="0" style="363" hidden="1" customWidth="1"/>
    <col min="9521" max="9522" width="4.125" style="363" customWidth="1"/>
    <col min="9523" max="9524" width="0" style="363" hidden="1" customWidth="1"/>
    <col min="9525" max="9534" width="4.125" style="363" customWidth="1"/>
    <col min="9535" max="9536" width="0" style="363" hidden="1" customWidth="1"/>
    <col min="9537" max="9540" width="4.125" style="363" customWidth="1"/>
    <col min="9541" max="9728" width="3.625" style="363"/>
    <col min="9729" max="9735" width="3.625" style="363" customWidth="1"/>
    <col min="9736" max="9738" width="4.625" style="363" customWidth="1"/>
    <col min="9739" max="9744" width="3.625" style="363" customWidth="1"/>
    <col min="9745" max="9746" width="0" style="363" hidden="1" customWidth="1"/>
    <col min="9747" max="9762" width="4.125" style="363" customWidth="1"/>
    <col min="9763" max="9776" width="0" style="363" hidden="1" customWidth="1"/>
    <col min="9777" max="9778" width="4.125" style="363" customWidth="1"/>
    <col min="9779" max="9780" width="0" style="363" hidden="1" customWidth="1"/>
    <col min="9781" max="9790" width="4.125" style="363" customWidth="1"/>
    <col min="9791" max="9792" width="0" style="363" hidden="1" customWidth="1"/>
    <col min="9793" max="9796" width="4.125" style="363" customWidth="1"/>
    <col min="9797" max="9984" width="3.625" style="363"/>
    <col min="9985" max="9991" width="3.625" style="363" customWidth="1"/>
    <col min="9992" max="9994" width="4.625" style="363" customWidth="1"/>
    <col min="9995" max="10000" width="3.625" style="363" customWidth="1"/>
    <col min="10001" max="10002" width="0" style="363" hidden="1" customWidth="1"/>
    <col min="10003" max="10018" width="4.125" style="363" customWidth="1"/>
    <col min="10019" max="10032" width="0" style="363" hidden="1" customWidth="1"/>
    <col min="10033" max="10034" width="4.125" style="363" customWidth="1"/>
    <col min="10035" max="10036" width="0" style="363" hidden="1" customWidth="1"/>
    <col min="10037" max="10046" width="4.125" style="363" customWidth="1"/>
    <col min="10047" max="10048" width="0" style="363" hidden="1" customWidth="1"/>
    <col min="10049" max="10052" width="4.125" style="363" customWidth="1"/>
    <col min="10053" max="10240" width="3.625" style="363"/>
    <col min="10241" max="10247" width="3.625" style="363" customWidth="1"/>
    <col min="10248" max="10250" width="4.625" style="363" customWidth="1"/>
    <col min="10251" max="10256" width="3.625" style="363" customWidth="1"/>
    <col min="10257" max="10258" width="0" style="363" hidden="1" customWidth="1"/>
    <col min="10259" max="10274" width="4.125" style="363" customWidth="1"/>
    <col min="10275" max="10288" width="0" style="363" hidden="1" customWidth="1"/>
    <col min="10289" max="10290" width="4.125" style="363" customWidth="1"/>
    <col min="10291" max="10292" width="0" style="363" hidden="1" customWidth="1"/>
    <col min="10293" max="10302" width="4.125" style="363" customWidth="1"/>
    <col min="10303" max="10304" width="0" style="363" hidden="1" customWidth="1"/>
    <col min="10305" max="10308" width="4.125" style="363" customWidth="1"/>
    <col min="10309" max="10496" width="3.625" style="363"/>
    <col min="10497" max="10503" width="3.625" style="363" customWidth="1"/>
    <col min="10504" max="10506" width="4.625" style="363" customWidth="1"/>
    <col min="10507" max="10512" width="3.625" style="363" customWidth="1"/>
    <col min="10513" max="10514" width="0" style="363" hidden="1" customWidth="1"/>
    <col min="10515" max="10530" width="4.125" style="363" customWidth="1"/>
    <col min="10531" max="10544" width="0" style="363" hidden="1" customWidth="1"/>
    <col min="10545" max="10546" width="4.125" style="363" customWidth="1"/>
    <col min="10547" max="10548" width="0" style="363" hidden="1" customWidth="1"/>
    <col min="10549" max="10558" width="4.125" style="363" customWidth="1"/>
    <col min="10559" max="10560" width="0" style="363" hidden="1" customWidth="1"/>
    <col min="10561" max="10564" width="4.125" style="363" customWidth="1"/>
    <col min="10565" max="10752" width="3.625" style="363"/>
    <col min="10753" max="10759" width="3.625" style="363" customWidth="1"/>
    <col min="10760" max="10762" width="4.625" style="363" customWidth="1"/>
    <col min="10763" max="10768" width="3.625" style="363" customWidth="1"/>
    <col min="10769" max="10770" width="0" style="363" hidden="1" customWidth="1"/>
    <col min="10771" max="10786" width="4.125" style="363" customWidth="1"/>
    <col min="10787" max="10800" width="0" style="363" hidden="1" customWidth="1"/>
    <col min="10801" max="10802" width="4.125" style="363" customWidth="1"/>
    <col min="10803" max="10804" width="0" style="363" hidden="1" customWidth="1"/>
    <col min="10805" max="10814" width="4.125" style="363" customWidth="1"/>
    <col min="10815" max="10816" width="0" style="363" hidden="1" customWidth="1"/>
    <col min="10817" max="10820" width="4.125" style="363" customWidth="1"/>
    <col min="10821" max="11008" width="3.625" style="363"/>
    <col min="11009" max="11015" width="3.625" style="363" customWidth="1"/>
    <col min="11016" max="11018" width="4.625" style="363" customWidth="1"/>
    <col min="11019" max="11024" width="3.625" style="363" customWidth="1"/>
    <col min="11025" max="11026" width="0" style="363" hidden="1" customWidth="1"/>
    <col min="11027" max="11042" width="4.125" style="363" customWidth="1"/>
    <col min="11043" max="11056" width="0" style="363" hidden="1" customWidth="1"/>
    <col min="11057" max="11058" width="4.125" style="363" customWidth="1"/>
    <col min="11059" max="11060" width="0" style="363" hidden="1" customWidth="1"/>
    <col min="11061" max="11070" width="4.125" style="363" customWidth="1"/>
    <col min="11071" max="11072" width="0" style="363" hidden="1" customWidth="1"/>
    <col min="11073" max="11076" width="4.125" style="363" customWidth="1"/>
    <col min="11077" max="11264" width="3.625" style="363"/>
    <col min="11265" max="11271" width="3.625" style="363" customWidth="1"/>
    <col min="11272" max="11274" width="4.625" style="363" customWidth="1"/>
    <col min="11275" max="11280" width="3.625" style="363" customWidth="1"/>
    <col min="11281" max="11282" width="0" style="363" hidden="1" customWidth="1"/>
    <col min="11283" max="11298" width="4.125" style="363" customWidth="1"/>
    <col min="11299" max="11312" width="0" style="363" hidden="1" customWidth="1"/>
    <col min="11313" max="11314" width="4.125" style="363" customWidth="1"/>
    <col min="11315" max="11316" width="0" style="363" hidden="1" customWidth="1"/>
    <col min="11317" max="11326" width="4.125" style="363" customWidth="1"/>
    <col min="11327" max="11328" width="0" style="363" hidden="1" customWidth="1"/>
    <col min="11329" max="11332" width="4.125" style="363" customWidth="1"/>
    <col min="11333" max="11520" width="3.625" style="363"/>
    <col min="11521" max="11527" width="3.625" style="363" customWidth="1"/>
    <col min="11528" max="11530" width="4.625" style="363" customWidth="1"/>
    <col min="11531" max="11536" width="3.625" style="363" customWidth="1"/>
    <col min="11537" max="11538" width="0" style="363" hidden="1" customWidth="1"/>
    <col min="11539" max="11554" width="4.125" style="363" customWidth="1"/>
    <col min="11555" max="11568" width="0" style="363" hidden="1" customWidth="1"/>
    <col min="11569" max="11570" width="4.125" style="363" customWidth="1"/>
    <col min="11571" max="11572" width="0" style="363" hidden="1" customWidth="1"/>
    <col min="11573" max="11582" width="4.125" style="363" customWidth="1"/>
    <col min="11583" max="11584" width="0" style="363" hidden="1" customWidth="1"/>
    <col min="11585" max="11588" width="4.125" style="363" customWidth="1"/>
    <col min="11589" max="11776" width="3.625" style="363"/>
    <col min="11777" max="11783" width="3.625" style="363" customWidth="1"/>
    <col min="11784" max="11786" width="4.625" style="363" customWidth="1"/>
    <col min="11787" max="11792" width="3.625" style="363" customWidth="1"/>
    <col min="11793" max="11794" width="0" style="363" hidden="1" customWidth="1"/>
    <col min="11795" max="11810" width="4.125" style="363" customWidth="1"/>
    <col min="11811" max="11824" width="0" style="363" hidden="1" customWidth="1"/>
    <col min="11825" max="11826" width="4.125" style="363" customWidth="1"/>
    <col min="11827" max="11828" width="0" style="363" hidden="1" customWidth="1"/>
    <col min="11829" max="11838" width="4.125" style="363" customWidth="1"/>
    <col min="11839" max="11840" width="0" style="363" hidden="1" customWidth="1"/>
    <col min="11841" max="11844" width="4.125" style="363" customWidth="1"/>
    <col min="11845" max="12032" width="3.625" style="363"/>
    <col min="12033" max="12039" width="3.625" style="363" customWidth="1"/>
    <col min="12040" max="12042" width="4.625" style="363" customWidth="1"/>
    <col min="12043" max="12048" width="3.625" style="363" customWidth="1"/>
    <col min="12049" max="12050" width="0" style="363" hidden="1" customWidth="1"/>
    <col min="12051" max="12066" width="4.125" style="363" customWidth="1"/>
    <col min="12067" max="12080" width="0" style="363" hidden="1" customWidth="1"/>
    <col min="12081" max="12082" width="4.125" style="363" customWidth="1"/>
    <col min="12083" max="12084" width="0" style="363" hidden="1" customWidth="1"/>
    <col min="12085" max="12094" width="4.125" style="363" customWidth="1"/>
    <col min="12095" max="12096" width="0" style="363" hidden="1" customWidth="1"/>
    <col min="12097" max="12100" width="4.125" style="363" customWidth="1"/>
    <col min="12101" max="12288" width="3.625" style="363"/>
    <col min="12289" max="12295" width="3.625" style="363" customWidth="1"/>
    <col min="12296" max="12298" width="4.625" style="363" customWidth="1"/>
    <col min="12299" max="12304" width="3.625" style="363" customWidth="1"/>
    <col min="12305" max="12306" width="0" style="363" hidden="1" customWidth="1"/>
    <col min="12307" max="12322" width="4.125" style="363" customWidth="1"/>
    <col min="12323" max="12336" width="0" style="363" hidden="1" customWidth="1"/>
    <col min="12337" max="12338" width="4.125" style="363" customWidth="1"/>
    <col min="12339" max="12340" width="0" style="363" hidden="1" customWidth="1"/>
    <col min="12341" max="12350" width="4.125" style="363" customWidth="1"/>
    <col min="12351" max="12352" width="0" style="363" hidden="1" customWidth="1"/>
    <col min="12353" max="12356" width="4.125" style="363" customWidth="1"/>
    <col min="12357" max="12544" width="3.625" style="363"/>
    <col min="12545" max="12551" width="3.625" style="363" customWidth="1"/>
    <col min="12552" max="12554" width="4.625" style="363" customWidth="1"/>
    <col min="12555" max="12560" width="3.625" style="363" customWidth="1"/>
    <col min="12561" max="12562" width="0" style="363" hidden="1" customWidth="1"/>
    <col min="12563" max="12578" width="4.125" style="363" customWidth="1"/>
    <col min="12579" max="12592" width="0" style="363" hidden="1" customWidth="1"/>
    <col min="12593" max="12594" width="4.125" style="363" customWidth="1"/>
    <col min="12595" max="12596" width="0" style="363" hidden="1" customWidth="1"/>
    <col min="12597" max="12606" width="4.125" style="363" customWidth="1"/>
    <col min="12607" max="12608" width="0" style="363" hidden="1" customWidth="1"/>
    <col min="12609" max="12612" width="4.125" style="363" customWidth="1"/>
    <col min="12613" max="12800" width="3.625" style="363"/>
    <col min="12801" max="12807" width="3.625" style="363" customWidth="1"/>
    <col min="12808" max="12810" width="4.625" style="363" customWidth="1"/>
    <col min="12811" max="12816" width="3.625" style="363" customWidth="1"/>
    <col min="12817" max="12818" width="0" style="363" hidden="1" customWidth="1"/>
    <col min="12819" max="12834" width="4.125" style="363" customWidth="1"/>
    <col min="12835" max="12848" width="0" style="363" hidden="1" customWidth="1"/>
    <col min="12849" max="12850" width="4.125" style="363" customWidth="1"/>
    <col min="12851" max="12852" width="0" style="363" hidden="1" customWidth="1"/>
    <col min="12853" max="12862" width="4.125" style="363" customWidth="1"/>
    <col min="12863" max="12864" width="0" style="363" hidden="1" customWidth="1"/>
    <col min="12865" max="12868" width="4.125" style="363" customWidth="1"/>
    <col min="12869" max="13056" width="3.625" style="363"/>
    <col min="13057" max="13063" width="3.625" style="363" customWidth="1"/>
    <col min="13064" max="13066" width="4.625" style="363" customWidth="1"/>
    <col min="13067" max="13072" width="3.625" style="363" customWidth="1"/>
    <col min="13073" max="13074" width="0" style="363" hidden="1" customWidth="1"/>
    <col min="13075" max="13090" width="4.125" style="363" customWidth="1"/>
    <col min="13091" max="13104" width="0" style="363" hidden="1" customWidth="1"/>
    <col min="13105" max="13106" width="4.125" style="363" customWidth="1"/>
    <col min="13107" max="13108" width="0" style="363" hidden="1" customWidth="1"/>
    <col min="13109" max="13118" width="4.125" style="363" customWidth="1"/>
    <col min="13119" max="13120" width="0" style="363" hidden="1" customWidth="1"/>
    <col min="13121" max="13124" width="4.125" style="363" customWidth="1"/>
    <col min="13125" max="13312" width="3.625" style="363"/>
    <col min="13313" max="13319" width="3.625" style="363" customWidth="1"/>
    <col min="13320" max="13322" width="4.625" style="363" customWidth="1"/>
    <col min="13323" max="13328" width="3.625" style="363" customWidth="1"/>
    <col min="13329" max="13330" width="0" style="363" hidden="1" customWidth="1"/>
    <col min="13331" max="13346" width="4.125" style="363" customWidth="1"/>
    <col min="13347" max="13360" width="0" style="363" hidden="1" customWidth="1"/>
    <col min="13361" max="13362" width="4.125" style="363" customWidth="1"/>
    <col min="13363" max="13364" width="0" style="363" hidden="1" customWidth="1"/>
    <col min="13365" max="13374" width="4.125" style="363" customWidth="1"/>
    <col min="13375" max="13376" width="0" style="363" hidden="1" customWidth="1"/>
    <col min="13377" max="13380" width="4.125" style="363" customWidth="1"/>
    <col min="13381" max="13568" width="3.625" style="363"/>
    <col min="13569" max="13575" width="3.625" style="363" customWidth="1"/>
    <col min="13576" max="13578" width="4.625" style="363" customWidth="1"/>
    <col min="13579" max="13584" width="3.625" style="363" customWidth="1"/>
    <col min="13585" max="13586" width="0" style="363" hidden="1" customWidth="1"/>
    <col min="13587" max="13602" width="4.125" style="363" customWidth="1"/>
    <col min="13603" max="13616" width="0" style="363" hidden="1" customWidth="1"/>
    <col min="13617" max="13618" width="4.125" style="363" customWidth="1"/>
    <col min="13619" max="13620" width="0" style="363" hidden="1" customWidth="1"/>
    <col min="13621" max="13630" width="4.125" style="363" customWidth="1"/>
    <col min="13631" max="13632" width="0" style="363" hidden="1" customWidth="1"/>
    <col min="13633" max="13636" width="4.125" style="363" customWidth="1"/>
    <col min="13637" max="13824" width="3.625" style="363"/>
    <col min="13825" max="13831" width="3.625" style="363" customWidth="1"/>
    <col min="13832" max="13834" width="4.625" style="363" customWidth="1"/>
    <col min="13835" max="13840" width="3.625" style="363" customWidth="1"/>
    <col min="13841" max="13842" width="0" style="363" hidden="1" customWidth="1"/>
    <col min="13843" max="13858" width="4.125" style="363" customWidth="1"/>
    <col min="13859" max="13872" width="0" style="363" hidden="1" customWidth="1"/>
    <col min="13873" max="13874" width="4.125" style="363" customWidth="1"/>
    <col min="13875" max="13876" width="0" style="363" hidden="1" customWidth="1"/>
    <col min="13877" max="13886" width="4.125" style="363" customWidth="1"/>
    <col min="13887" max="13888" width="0" style="363" hidden="1" customWidth="1"/>
    <col min="13889" max="13892" width="4.125" style="363" customWidth="1"/>
    <col min="13893" max="14080" width="3.625" style="363"/>
    <col min="14081" max="14087" width="3.625" style="363" customWidth="1"/>
    <col min="14088" max="14090" width="4.625" style="363" customWidth="1"/>
    <col min="14091" max="14096" width="3.625" style="363" customWidth="1"/>
    <col min="14097" max="14098" width="0" style="363" hidden="1" customWidth="1"/>
    <col min="14099" max="14114" width="4.125" style="363" customWidth="1"/>
    <col min="14115" max="14128" width="0" style="363" hidden="1" customWidth="1"/>
    <col min="14129" max="14130" width="4.125" style="363" customWidth="1"/>
    <col min="14131" max="14132" width="0" style="363" hidden="1" customWidth="1"/>
    <col min="14133" max="14142" width="4.125" style="363" customWidth="1"/>
    <col min="14143" max="14144" width="0" style="363" hidden="1" customWidth="1"/>
    <col min="14145" max="14148" width="4.125" style="363" customWidth="1"/>
    <col min="14149" max="14336" width="3.625" style="363"/>
    <col min="14337" max="14343" width="3.625" style="363" customWidth="1"/>
    <col min="14344" max="14346" width="4.625" style="363" customWidth="1"/>
    <col min="14347" max="14352" width="3.625" style="363" customWidth="1"/>
    <col min="14353" max="14354" width="0" style="363" hidden="1" customWidth="1"/>
    <col min="14355" max="14370" width="4.125" style="363" customWidth="1"/>
    <col min="14371" max="14384" width="0" style="363" hidden="1" customWidth="1"/>
    <col min="14385" max="14386" width="4.125" style="363" customWidth="1"/>
    <col min="14387" max="14388" width="0" style="363" hidden="1" customWidth="1"/>
    <col min="14389" max="14398" width="4.125" style="363" customWidth="1"/>
    <col min="14399" max="14400" width="0" style="363" hidden="1" customWidth="1"/>
    <col min="14401" max="14404" width="4.125" style="363" customWidth="1"/>
    <col min="14405" max="14592" width="3.625" style="363"/>
    <col min="14593" max="14599" width="3.625" style="363" customWidth="1"/>
    <col min="14600" max="14602" width="4.625" style="363" customWidth="1"/>
    <col min="14603" max="14608" width="3.625" style="363" customWidth="1"/>
    <col min="14609" max="14610" width="0" style="363" hidden="1" customWidth="1"/>
    <col min="14611" max="14626" width="4.125" style="363" customWidth="1"/>
    <col min="14627" max="14640" width="0" style="363" hidden="1" customWidth="1"/>
    <col min="14641" max="14642" width="4.125" style="363" customWidth="1"/>
    <col min="14643" max="14644" width="0" style="363" hidden="1" customWidth="1"/>
    <col min="14645" max="14654" width="4.125" style="363" customWidth="1"/>
    <col min="14655" max="14656" width="0" style="363" hidden="1" customWidth="1"/>
    <col min="14657" max="14660" width="4.125" style="363" customWidth="1"/>
    <col min="14661" max="14848" width="3.625" style="363"/>
    <col min="14849" max="14855" width="3.625" style="363" customWidth="1"/>
    <col min="14856" max="14858" width="4.625" style="363" customWidth="1"/>
    <col min="14859" max="14864" width="3.625" style="363" customWidth="1"/>
    <col min="14865" max="14866" width="0" style="363" hidden="1" customWidth="1"/>
    <col min="14867" max="14882" width="4.125" style="363" customWidth="1"/>
    <col min="14883" max="14896" width="0" style="363" hidden="1" customWidth="1"/>
    <col min="14897" max="14898" width="4.125" style="363" customWidth="1"/>
    <col min="14899" max="14900" width="0" style="363" hidden="1" customWidth="1"/>
    <col min="14901" max="14910" width="4.125" style="363" customWidth="1"/>
    <col min="14911" max="14912" width="0" style="363" hidden="1" customWidth="1"/>
    <col min="14913" max="14916" width="4.125" style="363" customWidth="1"/>
    <col min="14917" max="15104" width="3.625" style="363"/>
    <col min="15105" max="15111" width="3.625" style="363" customWidth="1"/>
    <col min="15112" max="15114" width="4.625" style="363" customWidth="1"/>
    <col min="15115" max="15120" width="3.625" style="363" customWidth="1"/>
    <col min="15121" max="15122" width="0" style="363" hidden="1" customWidth="1"/>
    <col min="15123" max="15138" width="4.125" style="363" customWidth="1"/>
    <col min="15139" max="15152" width="0" style="363" hidden="1" customWidth="1"/>
    <col min="15153" max="15154" width="4.125" style="363" customWidth="1"/>
    <col min="15155" max="15156" width="0" style="363" hidden="1" customWidth="1"/>
    <col min="15157" max="15166" width="4.125" style="363" customWidth="1"/>
    <col min="15167" max="15168" width="0" style="363" hidden="1" customWidth="1"/>
    <col min="15169" max="15172" width="4.125" style="363" customWidth="1"/>
    <col min="15173" max="15360" width="3.625" style="363"/>
    <col min="15361" max="15367" width="3.625" style="363" customWidth="1"/>
    <col min="15368" max="15370" width="4.625" style="363" customWidth="1"/>
    <col min="15371" max="15376" width="3.625" style="363" customWidth="1"/>
    <col min="15377" max="15378" width="0" style="363" hidden="1" customWidth="1"/>
    <col min="15379" max="15394" width="4.125" style="363" customWidth="1"/>
    <col min="15395" max="15408" width="0" style="363" hidden="1" customWidth="1"/>
    <col min="15409" max="15410" width="4.125" style="363" customWidth="1"/>
    <col min="15411" max="15412" width="0" style="363" hidden="1" customWidth="1"/>
    <col min="15413" max="15422" width="4.125" style="363" customWidth="1"/>
    <col min="15423" max="15424" width="0" style="363" hidden="1" customWidth="1"/>
    <col min="15425" max="15428" width="4.125" style="363" customWidth="1"/>
    <col min="15429" max="15616" width="3.625" style="363"/>
    <col min="15617" max="15623" width="3.625" style="363" customWidth="1"/>
    <col min="15624" max="15626" width="4.625" style="363" customWidth="1"/>
    <col min="15627" max="15632" width="3.625" style="363" customWidth="1"/>
    <col min="15633" max="15634" width="0" style="363" hidden="1" customWidth="1"/>
    <col min="15635" max="15650" width="4.125" style="363" customWidth="1"/>
    <col min="15651" max="15664" width="0" style="363" hidden="1" customWidth="1"/>
    <col min="15665" max="15666" width="4.125" style="363" customWidth="1"/>
    <col min="15667" max="15668" width="0" style="363" hidden="1" customWidth="1"/>
    <col min="15669" max="15678" width="4.125" style="363" customWidth="1"/>
    <col min="15679" max="15680" width="0" style="363" hidden="1" customWidth="1"/>
    <col min="15681" max="15684" width="4.125" style="363" customWidth="1"/>
    <col min="15685" max="15872" width="3.625" style="363"/>
    <col min="15873" max="15879" width="3.625" style="363" customWidth="1"/>
    <col min="15880" max="15882" width="4.625" style="363" customWidth="1"/>
    <col min="15883" max="15888" width="3.625" style="363" customWidth="1"/>
    <col min="15889" max="15890" width="0" style="363" hidden="1" customWidth="1"/>
    <col min="15891" max="15906" width="4.125" style="363" customWidth="1"/>
    <col min="15907" max="15920" width="0" style="363" hidden="1" customWidth="1"/>
    <col min="15921" max="15922" width="4.125" style="363" customWidth="1"/>
    <col min="15923" max="15924" width="0" style="363" hidden="1" customWidth="1"/>
    <col min="15925" max="15934" width="4.125" style="363" customWidth="1"/>
    <col min="15935" max="15936" width="0" style="363" hidden="1" customWidth="1"/>
    <col min="15937" max="15940" width="4.125" style="363" customWidth="1"/>
    <col min="15941" max="16128" width="3.625" style="363"/>
    <col min="16129" max="16135" width="3.625" style="363" customWidth="1"/>
    <col min="16136" max="16138" width="4.625" style="363" customWidth="1"/>
    <col min="16139" max="16144" width="3.625" style="363" customWidth="1"/>
    <col min="16145" max="16146" width="0" style="363" hidden="1" customWidth="1"/>
    <col min="16147" max="16162" width="4.125" style="363" customWidth="1"/>
    <col min="16163" max="16176" width="0" style="363" hidden="1" customWidth="1"/>
    <col min="16177" max="16178" width="4.125" style="363" customWidth="1"/>
    <col min="16179" max="16180" width="0" style="363" hidden="1" customWidth="1"/>
    <col min="16181" max="16190" width="4.125" style="363" customWidth="1"/>
    <col min="16191" max="16192" width="0" style="363" hidden="1" customWidth="1"/>
    <col min="16193" max="16196" width="4.125" style="363" customWidth="1"/>
    <col min="16197" max="16384" width="3.625" style="363"/>
  </cols>
  <sheetData>
    <row r="1" spans="1:68" ht="14.25" customHeight="1">
      <c r="A1" s="362" t="s">
        <v>856</v>
      </c>
    </row>
    <row r="2" spans="1:68" ht="14.25" customHeight="1"/>
    <row r="3" spans="1:68" ht="14.25" customHeight="1">
      <c r="A3" s="364"/>
    </row>
    <row r="4" spans="1:68" ht="14.25" customHeight="1"/>
    <row r="5" spans="1:68" ht="14.25" customHeight="1"/>
    <row r="6" spans="1:68" ht="53.25" customHeight="1">
      <c r="B6" s="365" t="s">
        <v>857</v>
      </c>
      <c r="C6" s="365"/>
      <c r="D6" s="365"/>
      <c r="E6" s="365"/>
      <c r="F6" s="365"/>
      <c r="G6" s="365"/>
      <c r="H6" s="365" t="s">
        <v>858</v>
      </c>
      <c r="I6" s="365"/>
      <c r="J6" s="365"/>
      <c r="K6" s="365" t="s">
        <v>859</v>
      </c>
      <c r="L6" s="365"/>
      <c r="M6" s="365" t="s">
        <v>860</v>
      </c>
      <c r="N6" s="365"/>
      <c r="O6" s="365" t="s">
        <v>861</v>
      </c>
      <c r="P6" s="365"/>
      <c r="Q6" s="366" t="s">
        <v>862</v>
      </c>
      <c r="R6" s="365"/>
      <c r="S6" s="366" t="s">
        <v>863</v>
      </c>
      <c r="T6" s="365"/>
      <c r="U6" s="365" t="s">
        <v>864</v>
      </c>
      <c r="V6" s="365"/>
      <c r="W6" s="366" t="s">
        <v>865</v>
      </c>
      <c r="X6" s="365"/>
      <c r="Y6" s="365" t="s">
        <v>866</v>
      </c>
      <c r="Z6" s="365"/>
      <c r="AA6" s="366" t="s">
        <v>867</v>
      </c>
      <c r="AB6" s="365"/>
      <c r="AC6" s="366" t="s">
        <v>868</v>
      </c>
      <c r="AD6" s="365"/>
      <c r="AE6" s="366" t="s">
        <v>869</v>
      </c>
      <c r="AF6" s="365"/>
      <c r="AG6" s="366" t="s">
        <v>870</v>
      </c>
      <c r="AH6" s="365"/>
      <c r="AI6" s="366" t="s">
        <v>871</v>
      </c>
      <c r="AJ6" s="365"/>
      <c r="AK6" s="366" t="s">
        <v>872</v>
      </c>
      <c r="AL6" s="365"/>
      <c r="AM6" s="366" t="s">
        <v>873</v>
      </c>
      <c r="AN6" s="365"/>
      <c r="AO6" s="366" t="s">
        <v>874</v>
      </c>
      <c r="AP6" s="365"/>
      <c r="AQ6" s="366" t="s">
        <v>875</v>
      </c>
      <c r="AR6" s="365"/>
      <c r="AS6" s="366" t="s">
        <v>876</v>
      </c>
      <c r="AT6" s="365"/>
      <c r="AU6" s="366" t="s">
        <v>877</v>
      </c>
      <c r="AV6" s="365"/>
      <c r="AW6" s="366" t="s">
        <v>878</v>
      </c>
      <c r="AX6" s="365"/>
      <c r="AY6" s="366" t="s">
        <v>879</v>
      </c>
      <c r="AZ6" s="365"/>
      <c r="BA6" s="365" t="s">
        <v>880</v>
      </c>
      <c r="BB6" s="365"/>
      <c r="BC6" s="366" t="s">
        <v>881</v>
      </c>
      <c r="BD6" s="365"/>
      <c r="BE6" s="365" t="s">
        <v>882</v>
      </c>
      <c r="BF6" s="365"/>
      <c r="BG6" s="366" t="s">
        <v>883</v>
      </c>
      <c r="BH6" s="365"/>
      <c r="BI6" s="366" t="s">
        <v>884</v>
      </c>
      <c r="BJ6" s="365"/>
      <c r="BK6" s="366" t="s">
        <v>885</v>
      </c>
      <c r="BL6" s="365"/>
      <c r="BM6" s="366" t="s">
        <v>886</v>
      </c>
      <c r="BN6" s="365"/>
      <c r="BO6" s="366" t="s">
        <v>887</v>
      </c>
      <c r="BP6" s="365"/>
    </row>
    <row r="7" spans="1:68" ht="14.25" customHeight="1">
      <c r="B7" s="367" t="s">
        <v>888</v>
      </c>
      <c r="C7" s="367"/>
      <c r="D7" s="367"/>
      <c r="E7" s="367"/>
      <c r="F7" s="367"/>
      <c r="G7" s="367"/>
      <c r="H7" s="368"/>
      <c r="I7" s="368"/>
      <c r="J7" s="368"/>
      <c r="K7" s="369">
        <f>SUM(K8:L12)</f>
        <v>19</v>
      </c>
      <c r="L7" s="369"/>
      <c r="M7" s="370"/>
      <c r="N7" s="370"/>
      <c r="O7" s="369">
        <f>SUM(O8:P12)</f>
        <v>19</v>
      </c>
      <c r="P7" s="369"/>
      <c r="Q7" s="371"/>
      <c r="R7" s="371"/>
      <c r="S7" s="371"/>
      <c r="T7" s="371"/>
      <c r="U7" s="371"/>
      <c r="V7" s="371"/>
      <c r="W7" s="371"/>
      <c r="X7" s="371"/>
      <c r="Y7" s="371"/>
      <c r="Z7" s="371"/>
      <c r="AA7" s="371"/>
      <c r="AB7" s="371"/>
      <c r="AC7" s="371"/>
      <c r="AD7" s="371"/>
      <c r="AE7" s="371"/>
      <c r="AF7" s="371"/>
      <c r="AG7" s="371"/>
      <c r="AH7" s="371"/>
      <c r="AI7" s="371"/>
      <c r="AJ7" s="371"/>
      <c r="AK7" s="371"/>
      <c r="AL7" s="371"/>
      <c r="AM7" s="371"/>
      <c r="AN7" s="371"/>
      <c r="AO7" s="371"/>
      <c r="AP7" s="371"/>
      <c r="AQ7" s="371"/>
      <c r="AR7" s="371"/>
      <c r="AS7" s="371"/>
      <c r="AT7" s="371"/>
      <c r="AU7" s="371"/>
      <c r="AV7" s="371"/>
      <c r="AW7" s="371"/>
      <c r="AX7" s="371"/>
      <c r="AY7" s="371"/>
      <c r="AZ7" s="371"/>
      <c r="BA7" s="371"/>
      <c r="BB7" s="371"/>
      <c r="BC7" s="369">
        <f>'[1]基本 (1)'!L72</f>
        <v>19</v>
      </c>
      <c r="BD7" s="371"/>
      <c r="BE7" s="369">
        <f>'[1]基本 (1)'!L72</f>
        <v>19</v>
      </c>
      <c r="BF7" s="371"/>
      <c r="BG7" s="371"/>
      <c r="BH7" s="371"/>
      <c r="BI7" s="369">
        <f>'[1]基本 (1)'!L72</f>
        <v>19</v>
      </c>
      <c r="BJ7" s="371"/>
      <c r="BK7" s="371"/>
      <c r="BL7" s="371"/>
      <c r="BM7" s="371"/>
      <c r="BN7" s="371"/>
      <c r="BO7" s="371"/>
      <c r="BP7" s="371"/>
    </row>
    <row r="8" spans="1:68" ht="14.25" customHeight="1">
      <c r="B8" s="367"/>
      <c r="C8" s="367"/>
      <c r="D8" s="367"/>
      <c r="E8" s="367"/>
      <c r="F8" s="367"/>
      <c r="G8" s="367"/>
      <c r="H8" s="368" t="s">
        <v>889</v>
      </c>
      <c r="I8" s="368"/>
      <c r="J8" s="368"/>
      <c r="K8" s="369">
        <f>IF(ISERROR('[1]日数 (1)'!D33),0,'[1]日数 (1)'!D33)</f>
        <v>8.8000000000000007</v>
      </c>
      <c r="L8" s="369"/>
      <c r="M8" s="372">
        <v>1</v>
      </c>
      <c r="N8" s="372"/>
      <c r="O8" s="369">
        <f>ROUND('[1]日数表 (1)'!K8 / '[1]日数表 (1)'!M8,1)</f>
        <v>8.8000000000000007</v>
      </c>
      <c r="P8" s="369"/>
      <c r="Q8" s="371"/>
      <c r="R8" s="371"/>
      <c r="S8" s="371"/>
      <c r="T8" s="371"/>
      <c r="U8" s="371"/>
      <c r="V8" s="371"/>
      <c r="W8" s="371"/>
      <c r="X8" s="371"/>
      <c r="Y8" s="371"/>
      <c r="Z8" s="371"/>
      <c r="AA8" s="371"/>
      <c r="AB8" s="371"/>
      <c r="AC8" s="371"/>
      <c r="AD8" s="371"/>
      <c r="AE8" s="371"/>
      <c r="AF8" s="371"/>
      <c r="AG8" s="371"/>
      <c r="AH8" s="371"/>
      <c r="AI8" s="371"/>
      <c r="AJ8" s="371"/>
      <c r="AK8" s="371"/>
      <c r="AL8" s="371"/>
      <c r="AM8" s="371"/>
      <c r="AN8" s="371"/>
      <c r="AO8" s="371"/>
      <c r="AP8" s="371"/>
      <c r="AQ8" s="371"/>
      <c r="AR8" s="371"/>
      <c r="AS8" s="371"/>
      <c r="AT8" s="371"/>
      <c r="AU8" s="371"/>
      <c r="AV8" s="371"/>
      <c r="AW8" s="371"/>
      <c r="AX8" s="371"/>
      <c r="AY8" s="371"/>
      <c r="AZ8" s="371"/>
      <c r="BA8" s="371"/>
      <c r="BB8" s="371"/>
      <c r="BC8" s="371"/>
      <c r="BD8" s="371"/>
      <c r="BE8" s="371"/>
      <c r="BF8" s="371"/>
      <c r="BG8" s="371"/>
      <c r="BH8" s="371"/>
      <c r="BI8" s="371"/>
      <c r="BJ8" s="371"/>
      <c r="BK8" s="371"/>
      <c r="BL8" s="371"/>
      <c r="BM8" s="371"/>
      <c r="BN8" s="371"/>
      <c r="BO8" s="371"/>
      <c r="BP8" s="371"/>
    </row>
    <row r="9" spans="1:68" ht="14.25" hidden="1" customHeight="1">
      <c r="B9" s="367"/>
      <c r="C9" s="367"/>
      <c r="D9" s="367"/>
      <c r="E9" s="367"/>
      <c r="F9" s="367"/>
      <c r="G9" s="367"/>
      <c r="H9" s="368" t="s">
        <v>890</v>
      </c>
      <c r="I9" s="368"/>
      <c r="J9" s="368"/>
      <c r="K9" s="369"/>
      <c r="L9" s="369"/>
      <c r="M9" s="372"/>
      <c r="N9" s="372"/>
      <c r="O9" s="369">
        <v>0</v>
      </c>
      <c r="P9" s="369"/>
      <c r="Q9" s="371"/>
      <c r="R9" s="371"/>
      <c r="S9" s="371"/>
      <c r="T9" s="371"/>
      <c r="U9" s="371"/>
      <c r="V9" s="371"/>
      <c r="W9" s="371"/>
      <c r="X9" s="371"/>
      <c r="Y9" s="371"/>
      <c r="Z9" s="371"/>
      <c r="AA9" s="371"/>
      <c r="AB9" s="371"/>
      <c r="AC9" s="371"/>
      <c r="AD9" s="371"/>
      <c r="AE9" s="371"/>
      <c r="AF9" s="371"/>
      <c r="AG9" s="371"/>
      <c r="AH9" s="371"/>
      <c r="AI9" s="371"/>
      <c r="AJ9" s="371"/>
      <c r="AK9" s="371"/>
      <c r="AL9" s="371"/>
      <c r="AM9" s="371"/>
      <c r="AN9" s="371"/>
      <c r="AO9" s="371"/>
      <c r="AP9" s="371"/>
      <c r="AQ9" s="371"/>
      <c r="AR9" s="371"/>
      <c r="AS9" s="371"/>
      <c r="AT9" s="371"/>
      <c r="AU9" s="371"/>
      <c r="AV9" s="371"/>
      <c r="AW9" s="371"/>
      <c r="AX9" s="371"/>
      <c r="AY9" s="371"/>
      <c r="AZ9" s="371"/>
      <c r="BA9" s="371"/>
      <c r="BB9" s="371"/>
      <c r="BC9" s="371"/>
      <c r="BD9" s="371"/>
      <c r="BE9" s="371"/>
      <c r="BF9" s="371"/>
      <c r="BG9" s="371"/>
      <c r="BH9" s="371"/>
      <c r="BI9" s="371"/>
      <c r="BJ9" s="371"/>
      <c r="BK9" s="371"/>
      <c r="BL9" s="371"/>
      <c r="BM9" s="371"/>
      <c r="BN9" s="371"/>
      <c r="BO9" s="371"/>
      <c r="BP9" s="371"/>
    </row>
    <row r="10" spans="1:68" ht="14.25" hidden="1" customHeight="1">
      <c r="B10" s="367"/>
      <c r="C10" s="367"/>
      <c r="D10" s="367"/>
      <c r="E10" s="367"/>
      <c r="F10" s="367"/>
      <c r="G10" s="367"/>
      <c r="H10" s="368" t="s">
        <v>891</v>
      </c>
      <c r="I10" s="368"/>
      <c r="J10" s="368"/>
      <c r="K10" s="369"/>
      <c r="L10" s="369"/>
      <c r="M10" s="372"/>
      <c r="N10" s="372"/>
      <c r="O10" s="369">
        <v>0</v>
      </c>
      <c r="P10" s="369"/>
      <c r="Q10" s="371"/>
      <c r="R10" s="371"/>
      <c r="S10" s="371"/>
      <c r="T10" s="371"/>
      <c r="U10" s="371"/>
      <c r="V10" s="371"/>
      <c r="W10" s="371"/>
      <c r="X10" s="371"/>
      <c r="Y10" s="371"/>
      <c r="Z10" s="371"/>
      <c r="AA10" s="371"/>
      <c r="AB10" s="371"/>
      <c r="AC10" s="371"/>
      <c r="AD10" s="371"/>
      <c r="AE10" s="371"/>
      <c r="AF10" s="371"/>
      <c r="AG10" s="371"/>
      <c r="AH10" s="371"/>
      <c r="AI10" s="371"/>
      <c r="AJ10" s="371"/>
      <c r="AK10" s="371"/>
      <c r="AL10" s="371"/>
      <c r="AM10" s="371"/>
      <c r="AN10" s="371"/>
      <c r="AO10" s="371"/>
      <c r="AP10" s="371"/>
      <c r="AQ10" s="371"/>
      <c r="AR10" s="371"/>
      <c r="AS10" s="371"/>
      <c r="AT10" s="371"/>
      <c r="AU10" s="371"/>
      <c r="AV10" s="371"/>
      <c r="AW10" s="371"/>
      <c r="AX10" s="371"/>
      <c r="AY10" s="371"/>
      <c r="AZ10" s="371"/>
      <c r="BA10" s="371"/>
      <c r="BB10" s="371"/>
      <c r="BC10" s="371"/>
      <c r="BD10" s="371"/>
      <c r="BE10" s="371"/>
      <c r="BF10" s="371"/>
      <c r="BG10" s="371"/>
      <c r="BH10" s="371"/>
      <c r="BI10" s="371"/>
      <c r="BJ10" s="371"/>
      <c r="BK10" s="371"/>
      <c r="BL10" s="371"/>
      <c r="BM10" s="371"/>
      <c r="BN10" s="371"/>
      <c r="BO10" s="371"/>
      <c r="BP10" s="371"/>
    </row>
    <row r="11" spans="1:68" ht="14.25" customHeight="1">
      <c r="B11" s="367"/>
      <c r="C11" s="367"/>
      <c r="D11" s="367"/>
      <c r="E11" s="367"/>
      <c r="F11" s="367"/>
      <c r="G11" s="367"/>
      <c r="H11" s="368" t="s">
        <v>892</v>
      </c>
      <c r="I11" s="368"/>
      <c r="J11" s="368"/>
      <c r="K11" s="369">
        <f>IF(ISERROR('[1]日数 (1)'!D219),0,'[1]日数 (1)'!D219)</f>
        <v>6.2</v>
      </c>
      <c r="L11" s="369"/>
      <c r="M11" s="372">
        <v>1</v>
      </c>
      <c r="N11" s="372"/>
      <c r="O11" s="369">
        <f>ROUND('[1]日数表 (1)'!K11 / '[1]日数表 (1)'!M11,1)</f>
        <v>6.2</v>
      </c>
      <c r="P11" s="369"/>
      <c r="Q11" s="371"/>
      <c r="R11" s="371"/>
      <c r="S11" s="369">
        <f>'[1]基本 (1)'!N76</f>
        <v>6.2</v>
      </c>
      <c r="T11" s="371"/>
      <c r="U11" s="371"/>
      <c r="V11" s="371"/>
      <c r="W11" s="371"/>
      <c r="X11" s="371"/>
      <c r="Y11" s="371"/>
      <c r="Z11" s="371"/>
      <c r="AA11" s="371"/>
      <c r="AB11" s="371"/>
      <c r="AC11" s="371"/>
      <c r="AD11" s="371"/>
      <c r="AE11" s="371"/>
      <c r="AF11" s="371"/>
      <c r="AG11" s="371"/>
      <c r="AH11" s="371"/>
      <c r="AI11" s="371"/>
      <c r="AJ11" s="371"/>
      <c r="AK11" s="371"/>
      <c r="AL11" s="371"/>
      <c r="AM11" s="371"/>
      <c r="AN11" s="371"/>
      <c r="AO11" s="371"/>
      <c r="AP11" s="371"/>
      <c r="AQ11" s="371"/>
      <c r="AR11" s="371"/>
      <c r="AS11" s="371"/>
      <c r="AT11" s="371"/>
      <c r="AU11" s="371"/>
      <c r="AV11" s="371"/>
      <c r="AW11" s="371"/>
      <c r="AX11" s="371"/>
      <c r="AY11" s="371"/>
      <c r="AZ11" s="371"/>
      <c r="BA11" s="371"/>
      <c r="BB11" s="371"/>
      <c r="BC11" s="371"/>
      <c r="BD11" s="371"/>
      <c r="BE11" s="371"/>
      <c r="BF11" s="371"/>
      <c r="BG11" s="371"/>
      <c r="BH11" s="371"/>
      <c r="BI11" s="371"/>
      <c r="BJ11" s="371"/>
      <c r="BK11" s="371"/>
      <c r="BL11" s="371"/>
      <c r="BM11" s="371"/>
      <c r="BN11" s="371"/>
      <c r="BO11" s="371"/>
      <c r="BP11" s="371"/>
    </row>
    <row r="12" spans="1:68" ht="14.25" customHeight="1">
      <c r="B12" s="367"/>
      <c r="C12" s="367"/>
      <c r="D12" s="367"/>
      <c r="E12" s="367"/>
      <c r="F12" s="367"/>
      <c r="G12" s="367"/>
      <c r="H12" s="368" t="s">
        <v>893</v>
      </c>
      <c r="I12" s="368"/>
      <c r="J12" s="368"/>
      <c r="K12" s="369">
        <f>IF(ISERROR('[1]日数 (1)'!D239),0,'[1]日数 (1)'!D239)</f>
        <v>4</v>
      </c>
      <c r="L12" s="369"/>
      <c r="M12" s="372">
        <v>1</v>
      </c>
      <c r="N12" s="372"/>
      <c r="O12" s="369">
        <f>ROUND('[1]日数表 (1)'!K12 / '[1]日数表 (1)'!M12,1)</f>
        <v>4</v>
      </c>
      <c r="P12" s="369"/>
      <c r="Q12" s="371"/>
      <c r="R12" s="371"/>
      <c r="S12" s="369">
        <f>'[1]基本 (1)'!N77</f>
        <v>4</v>
      </c>
      <c r="T12" s="371"/>
      <c r="U12" s="369">
        <f>'[1]基本 (1)'!N77</f>
        <v>4</v>
      </c>
      <c r="V12" s="371"/>
      <c r="W12" s="371"/>
      <c r="X12" s="371"/>
      <c r="Y12" s="371"/>
      <c r="Z12" s="371"/>
      <c r="AA12" s="371"/>
      <c r="AB12" s="371"/>
      <c r="AC12" s="371"/>
      <c r="AD12" s="371"/>
      <c r="AE12" s="371"/>
      <c r="AF12" s="371"/>
      <c r="AG12" s="371"/>
      <c r="AH12" s="371"/>
      <c r="AI12" s="371"/>
      <c r="AJ12" s="371"/>
      <c r="AK12" s="371"/>
      <c r="AL12" s="371"/>
      <c r="AM12" s="371"/>
      <c r="AN12" s="371"/>
      <c r="AO12" s="371"/>
      <c r="AP12" s="371"/>
      <c r="AQ12" s="371"/>
      <c r="AR12" s="371"/>
      <c r="AS12" s="371"/>
      <c r="AT12" s="371"/>
      <c r="AU12" s="371"/>
      <c r="AV12" s="371"/>
      <c r="AW12" s="371"/>
      <c r="AX12" s="371"/>
      <c r="AY12" s="371"/>
      <c r="AZ12" s="371"/>
      <c r="BA12" s="371"/>
      <c r="BB12" s="371"/>
      <c r="BC12" s="371"/>
      <c r="BD12" s="371"/>
      <c r="BE12" s="371"/>
      <c r="BF12" s="371"/>
      <c r="BG12" s="371"/>
      <c r="BH12" s="371"/>
      <c r="BI12" s="371"/>
      <c r="BJ12" s="371"/>
      <c r="BK12" s="371"/>
      <c r="BL12" s="371"/>
      <c r="BM12" s="371"/>
      <c r="BN12" s="371"/>
      <c r="BO12" s="371"/>
      <c r="BP12" s="371"/>
    </row>
    <row r="13" spans="1:68" ht="14.25" customHeight="1">
      <c r="B13" s="367" t="s">
        <v>894</v>
      </c>
      <c r="C13" s="367"/>
      <c r="D13" s="367"/>
      <c r="E13" s="367"/>
      <c r="F13" s="367"/>
      <c r="G13" s="367"/>
      <c r="H13" s="368"/>
      <c r="I13" s="368"/>
      <c r="J13" s="368"/>
      <c r="K13" s="369">
        <f>SUM(K14:L16)</f>
        <v>16.2</v>
      </c>
      <c r="L13" s="369"/>
      <c r="M13" s="370"/>
      <c r="N13" s="370"/>
      <c r="O13" s="369">
        <f>SUM(O14:P16)</f>
        <v>16.2</v>
      </c>
      <c r="P13" s="369"/>
      <c r="Q13" s="371"/>
      <c r="R13" s="371"/>
      <c r="S13" s="369">
        <f>'[1]基本 (1)'!L78</f>
        <v>16.2</v>
      </c>
      <c r="T13" s="371"/>
      <c r="U13" s="369">
        <f>'[1]基本 (1)'!L78</f>
        <v>16.2</v>
      </c>
      <c r="V13" s="371"/>
      <c r="W13" s="369">
        <f>'[1]基本 (1)'!L78</f>
        <v>16.2</v>
      </c>
      <c r="X13" s="371"/>
      <c r="Y13" s="371"/>
      <c r="Z13" s="371"/>
      <c r="AA13" s="371"/>
      <c r="AB13" s="371"/>
      <c r="AC13" s="371"/>
      <c r="AD13" s="371"/>
      <c r="AE13" s="371"/>
      <c r="AF13" s="371"/>
      <c r="AG13" s="371"/>
      <c r="AH13" s="371"/>
      <c r="AI13" s="371"/>
      <c r="AJ13" s="371"/>
      <c r="AK13" s="371"/>
      <c r="AL13" s="371"/>
      <c r="AM13" s="371"/>
      <c r="AN13" s="371"/>
      <c r="AO13" s="371"/>
      <c r="AP13" s="371"/>
      <c r="AQ13" s="371"/>
      <c r="AR13" s="371"/>
      <c r="AS13" s="371"/>
      <c r="AT13" s="371"/>
      <c r="AU13" s="371"/>
      <c r="AV13" s="371"/>
      <c r="AW13" s="369">
        <f>'[1]基本 (1)'!L78</f>
        <v>16.2</v>
      </c>
      <c r="AX13" s="371"/>
      <c r="AY13" s="371"/>
      <c r="AZ13" s="371"/>
      <c r="BA13" s="371"/>
      <c r="BB13" s="371"/>
      <c r="BC13" s="369">
        <f>'[1]基本 (1)'!L78</f>
        <v>16.2</v>
      </c>
      <c r="BD13" s="371"/>
      <c r="BE13" s="369">
        <f>'[1]基本 (1)'!L78</f>
        <v>16.2</v>
      </c>
      <c r="BF13" s="371"/>
      <c r="BG13" s="371"/>
      <c r="BH13" s="371"/>
      <c r="BI13" s="369">
        <f>'[1]基本 (1)'!L78</f>
        <v>16.2</v>
      </c>
      <c r="BJ13" s="371"/>
      <c r="BK13" s="371"/>
      <c r="BL13" s="371"/>
      <c r="BM13" s="371"/>
      <c r="BN13" s="371"/>
      <c r="BO13" s="371"/>
      <c r="BP13" s="371"/>
    </row>
    <row r="14" spans="1:68" ht="14.25" customHeight="1">
      <c r="B14" s="367"/>
      <c r="C14" s="367"/>
      <c r="D14" s="367"/>
      <c r="E14" s="367"/>
      <c r="F14" s="367"/>
      <c r="G14" s="367"/>
      <c r="H14" s="368" t="s">
        <v>895</v>
      </c>
      <c r="I14" s="368"/>
      <c r="J14" s="368"/>
      <c r="K14" s="369">
        <f>IF(ISERROR('[1]日数 (1)'!D283),0,'[1]日数 (1)'!D283)</f>
        <v>9.1999999999999993</v>
      </c>
      <c r="L14" s="369"/>
      <c r="M14" s="372">
        <v>1</v>
      </c>
      <c r="N14" s="372"/>
      <c r="O14" s="369">
        <f>ROUND('[1]日数表 (1)'!K14 / '[1]日数表 (1)'!M14,1)</f>
        <v>9.1999999999999993</v>
      </c>
      <c r="P14" s="369"/>
      <c r="Q14" s="371"/>
      <c r="R14" s="371"/>
      <c r="S14" s="371"/>
      <c r="T14" s="371"/>
      <c r="U14" s="371"/>
      <c r="V14" s="371"/>
      <c r="W14" s="371"/>
      <c r="X14" s="371"/>
      <c r="Y14" s="371"/>
      <c r="Z14" s="371"/>
      <c r="AA14" s="369">
        <f>'[1]基本 (1)'!N79*0.4</f>
        <v>3.6799999999999997</v>
      </c>
      <c r="AB14" s="371"/>
      <c r="AC14" s="369">
        <f>'[1]基本 (1)'!N79*0.4</f>
        <v>3.6799999999999997</v>
      </c>
      <c r="AD14" s="371"/>
      <c r="AE14" s="369">
        <f>'[1]基本 (1)'!N79*0.4</f>
        <v>3.6799999999999997</v>
      </c>
      <c r="AF14" s="371"/>
      <c r="AG14" s="369">
        <f>'[1]基本 (1)'!N79*0.4</f>
        <v>3.6799999999999997</v>
      </c>
      <c r="AH14" s="371"/>
      <c r="AI14" s="371"/>
      <c r="AJ14" s="371"/>
      <c r="AK14" s="371"/>
      <c r="AL14" s="371"/>
      <c r="AM14" s="371"/>
      <c r="AN14" s="371"/>
      <c r="AO14" s="371"/>
      <c r="AP14" s="371"/>
      <c r="AQ14" s="371"/>
      <c r="AR14" s="371"/>
      <c r="AS14" s="371"/>
      <c r="AT14" s="371"/>
      <c r="AU14" s="371"/>
      <c r="AV14" s="371"/>
      <c r="AW14" s="371"/>
      <c r="AX14" s="371"/>
      <c r="AY14" s="371"/>
      <c r="AZ14" s="371"/>
      <c r="BA14" s="371"/>
      <c r="BB14" s="371"/>
      <c r="BC14" s="371"/>
      <c r="BD14" s="371"/>
      <c r="BE14" s="371"/>
      <c r="BF14" s="371"/>
      <c r="BG14" s="371"/>
      <c r="BH14" s="371"/>
      <c r="BI14" s="371"/>
      <c r="BJ14" s="371"/>
      <c r="BK14" s="371"/>
      <c r="BL14" s="371"/>
      <c r="BM14" s="371"/>
      <c r="BN14" s="371"/>
      <c r="BO14" s="371"/>
      <c r="BP14" s="371"/>
    </row>
    <row r="15" spans="1:68" ht="14.25" customHeight="1">
      <c r="B15" s="367"/>
      <c r="C15" s="367"/>
      <c r="D15" s="367"/>
      <c r="E15" s="367"/>
      <c r="F15" s="367"/>
      <c r="G15" s="367"/>
      <c r="H15" s="368" t="s">
        <v>896</v>
      </c>
      <c r="I15" s="368"/>
      <c r="J15" s="368"/>
      <c r="K15" s="369">
        <f>IF(ISERROR('[1]日数 (1)'!D315),0,'[1]日数 (1)'!D315)</f>
        <v>2.6</v>
      </c>
      <c r="L15" s="369"/>
      <c r="M15" s="372">
        <v>1</v>
      </c>
      <c r="N15" s="372"/>
      <c r="O15" s="369">
        <f>ROUND('[1]日数表 (1)'!K15 / '[1]日数表 (1)'!M15,1)</f>
        <v>2.6</v>
      </c>
      <c r="P15" s="369"/>
      <c r="Q15" s="371"/>
      <c r="R15" s="371"/>
      <c r="S15" s="371"/>
      <c r="T15" s="371"/>
      <c r="U15" s="371"/>
      <c r="V15" s="371"/>
      <c r="W15" s="371"/>
      <c r="X15" s="371"/>
      <c r="Y15" s="369">
        <f>'[1]基本 (1)'!N80</f>
        <v>2.6</v>
      </c>
      <c r="Z15" s="371"/>
      <c r="AA15" s="371"/>
      <c r="AB15" s="371"/>
      <c r="AC15" s="371"/>
      <c r="AD15" s="371"/>
      <c r="AE15" s="371"/>
      <c r="AF15" s="371"/>
      <c r="AG15" s="371"/>
      <c r="AH15" s="371"/>
      <c r="AI15" s="371"/>
      <c r="AJ15" s="371"/>
      <c r="AK15" s="371"/>
      <c r="AL15" s="371"/>
      <c r="AM15" s="371"/>
      <c r="AN15" s="371"/>
      <c r="AO15" s="371"/>
      <c r="AP15" s="371"/>
      <c r="AQ15" s="371"/>
      <c r="AR15" s="371"/>
      <c r="AS15" s="371"/>
      <c r="AT15" s="371"/>
      <c r="AU15" s="371"/>
      <c r="AV15" s="371"/>
      <c r="AW15" s="371"/>
      <c r="AX15" s="371"/>
      <c r="AY15" s="371"/>
      <c r="AZ15" s="371"/>
      <c r="BA15" s="371"/>
      <c r="BB15" s="371"/>
      <c r="BC15" s="371"/>
      <c r="BD15" s="371"/>
      <c r="BE15" s="371"/>
      <c r="BF15" s="371"/>
      <c r="BG15" s="371"/>
      <c r="BH15" s="371"/>
      <c r="BI15" s="371"/>
      <c r="BJ15" s="371"/>
      <c r="BK15" s="371"/>
      <c r="BL15" s="371"/>
      <c r="BM15" s="371"/>
      <c r="BN15" s="371"/>
      <c r="BO15" s="371"/>
      <c r="BP15" s="371"/>
    </row>
    <row r="16" spans="1:68" ht="14.25" customHeight="1">
      <c r="B16" s="367"/>
      <c r="C16" s="367"/>
      <c r="D16" s="367"/>
      <c r="E16" s="367"/>
      <c r="F16" s="367"/>
      <c r="G16" s="367"/>
      <c r="H16" s="368" t="s">
        <v>897</v>
      </c>
      <c r="I16" s="368"/>
      <c r="J16" s="368"/>
      <c r="K16" s="369">
        <f>IF(ISERROR('[1]日数 (1)'!D357),0,'[1]日数 (1)'!D357)</f>
        <v>4.4000000000000004</v>
      </c>
      <c r="L16" s="369"/>
      <c r="M16" s="372">
        <v>1</v>
      </c>
      <c r="N16" s="372"/>
      <c r="O16" s="369">
        <f>ROUND('[1]日数表 (1)'!K16 / '[1]日数表 (1)'!M16,1)</f>
        <v>4.4000000000000004</v>
      </c>
      <c r="P16" s="369"/>
      <c r="Q16" s="371"/>
      <c r="R16" s="371"/>
      <c r="S16" s="371"/>
      <c r="T16" s="371"/>
      <c r="U16" s="371"/>
      <c r="V16" s="371"/>
      <c r="W16" s="371"/>
      <c r="X16" s="371"/>
      <c r="Y16" s="369">
        <f>'[1]基本 (1)'!N81</f>
        <v>4.4000000000000004</v>
      </c>
      <c r="Z16" s="371"/>
      <c r="AA16" s="369">
        <f>'[1]基本 (1)'!N81</f>
        <v>4.4000000000000004</v>
      </c>
      <c r="AB16" s="371"/>
      <c r="AC16" s="369">
        <f>'[1]基本 (1)'!N81</f>
        <v>4.4000000000000004</v>
      </c>
      <c r="AD16" s="371"/>
      <c r="AE16" s="369">
        <f>'[1]基本 (1)'!N81*((('[1]基本 (1)'!D7-(2- 1)) /('[1]基本 (1)'!D7+1)))</f>
        <v>2.2000000000000002</v>
      </c>
      <c r="AF16" s="371"/>
      <c r="AG16" s="369">
        <f>'[1]基本 (1)'!N81*((('[1]基本 (1)'!D7-(3- 1)) /('[1]基本 (1)'!D7+1)))</f>
        <v>1.1000000000000001</v>
      </c>
      <c r="AH16" s="371"/>
      <c r="AI16" s="371"/>
      <c r="AJ16" s="371"/>
      <c r="AK16" s="371"/>
      <c r="AL16" s="371"/>
      <c r="AM16" s="371"/>
      <c r="AN16" s="371"/>
      <c r="AO16" s="371"/>
      <c r="AP16" s="371"/>
      <c r="AQ16" s="371"/>
      <c r="AR16" s="371"/>
      <c r="AS16" s="371"/>
      <c r="AT16" s="371"/>
      <c r="AU16" s="371"/>
      <c r="AV16" s="371"/>
      <c r="AW16" s="371"/>
      <c r="AX16" s="371"/>
      <c r="AY16" s="371"/>
      <c r="AZ16" s="371"/>
      <c r="BA16" s="369">
        <f>'[1]基本 (1)'!N81</f>
        <v>4.4000000000000004</v>
      </c>
      <c r="BB16" s="371"/>
      <c r="BC16" s="371"/>
      <c r="BD16" s="371"/>
      <c r="BE16" s="371"/>
      <c r="BF16" s="371"/>
      <c r="BG16" s="371"/>
      <c r="BH16" s="371"/>
      <c r="BI16" s="371"/>
      <c r="BJ16" s="371"/>
      <c r="BK16" s="371"/>
      <c r="BL16" s="371"/>
      <c r="BM16" s="371"/>
      <c r="BN16" s="371"/>
      <c r="BO16" s="371"/>
      <c r="BP16" s="371"/>
    </row>
    <row r="17" spans="2:68" ht="14.25" customHeight="1">
      <c r="B17" s="367" t="s">
        <v>898</v>
      </c>
      <c r="C17" s="367"/>
      <c r="D17" s="367"/>
      <c r="E17" s="367"/>
      <c r="F17" s="367"/>
      <c r="G17" s="367"/>
      <c r="H17" s="368"/>
      <c r="I17" s="368"/>
      <c r="J17" s="368"/>
      <c r="K17" s="369">
        <f>SUM(K18:L19)</f>
        <v>6.5</v>
      </c>
      <c r="L17" s="369"/>
      <c r="M17" s="370"/>
      <c r="N17" s="370"/>
      <c r="O17" s="369">
        <f>SUM(O18:P19)</f>
        <v>3.3</v>
      </c>
      <c r="P17" s="369"/>
      <c r="Q17" s="371"/>
      <c r="R17" s="371"/>
      <c r="S17" s="369">
        <f>'[1]基本 (1)'!L82</f>
        <v>3.3</v>
      </c>
      <c r="T17" s="371"/>
      <c r="U17" s="369">
        <f>'[1]基本 (1)'!L82</f>
        <v>3.3</v>
      </c>
      <c r="V17" s="371"/>
      <c r="W17" s="369">
        <f>'[1]基本 (1)'!L82</f>
        <v>3.3</v>
      </c>
      <c r="X17" s="371"/>
      <c r="Y17" s="369">
        <f>'[1]基本 (1)'!L82</f>
        <v>3.3</v>
      </c>
      <c r="Z17" s="371"/>
      <c r="AA17" s="371"/>
      <c r="AB17" s="371"/>
      <c r="AC17" s="371"/>
      <c r="AD17" s="371"/>
      <c r="AE17" s="371"/>
      <c r="AF17" s="371"/>
      <c r="AG17" s="371"/>
      <c r="AH17" s="371"/>
      <c r="AI17" s="371"/>
      <c r="AJ17" s="371"/>
      <c r="AK17" s="371"/>
      <c r="AL17" s="371"/>
      <c r="AM17" s="371"/>
      <c r="AN17" s="371"/>
      <c r="AO17" s="371"/>
      <c r="AP17" s="371"/>
      <c r="AQ17" s="371"/>
      <c r="AR17" s="371"/>
      <c r="AS17" s="371"/>
      <c r="AT17" s="371"/>
      <c r="AU17" s="371"/>
      <c r="AV17" s="371"/>
      <c r="AW17" s="369">
        <f>'[1]基本 (1)'!L82</f>
        <v>3.3</v>
      </c>
      <c r="AX17" s="371"/>
      <c r="AY17" s="371"/>
      <c r="AZ17" s="371"/>
      <c r="BA17" s="371"/>
      <c r="BB17" s="371"/>
      <c r="BC17" s="369">
        <f>'[1]基本 (1)'!L82</f>
        <v>3.3</v>
      </c>
      <c r="BD17" s="371"/>
      <c r="BE17" s="369">
        <f>'[1]基本 (1)'!L82</f>
        <v>3.3</v>
      </c>
      <c r="BF17" s="371"/>
      <c r="BG17" s="371"/>
      <c r="BH17" s="371"/>
      <c r="BI17" s="369">
        <f>'[1]基本 (1)'!L82</f>
        <v>3.3</v>
      </c>
      <c r="BJ17" s="371"/>
      <c r="BK17" s="371"/>
      <c r="BL17" s="371"/>
      <c r="BM17" s="371"/>
      <c r="BN17" s="371"/>
      <c r="BO17" s="371"/>
      <c r="BP17" s="371"/>
    </row>
    <row r="18" spans="2:68" ht="14.25" hidden="1" customHeight="1">
      <c r="B18" s="367"/>
      <c r="C18" s="367"/>
      <c r="D18" s="367"/>
      <c r="E18" s="367"/>
      <c r="F18" s="367"/>
      <c r="G18" s="367"/>
      <c r="H18" s="368" t="s">
        <v>899</v>
      </c>
      <c r="I18" s="368"/>
      <c r="J18" s="368"/>
      <c r="K18" s="369"/>
      <c r="L18" s="369"/>
      <c r="M18" s="372"/>
      <c r="N18" s="372"/>
      <c r="O18" s="369">
        <v>0</v>
      </c>
      <c r="P18" s="369"/>
      <c r="Q18" s="371"/>
      <c r="R18" s="371"/>
      <c r="S18" s="371"/>
      <c r="T18" s="371"/>
      <c r="U18" s="371"/>
      <c r="V18" s="371"/>
      <c r="W18" s="371"/>
      <c r="X18" s="371"/>
      <c r="Y18" s="371"/>
      <c r="Z18" s="371"/>
      <c r="AA18" s="371"/>
      <c r="AB18" s="371"/>
      <c r="AC18" s="371"/>
      <c r="AD18" s="371"/>
      <c r="AE18" s="371"/>
      <c r="AF18" s="371"/>
      <c r="AG18" s="371"/>
      <c r="AH18" s="371"/>
      <c r="AI18" s="371"/>
      <c r="AJ18" s="371"/>
      <c r="AK18" s="371"/>
      <c r="AL18" s="371"/>
      <c r="AM18" s="371"/>
      <c r="AN18" s="371"/>
      <c r="AO18" s="371"/>
      <c r="AP18" s="371"/>
      <c r="AQ18" s="371"/>
      <c r="AR18" s="371"/>
      <c r="AS18" s="371"/>
      <c r="AT18" s="371"/>
      <c r="AU18" s="371"/>
      <c r="AV18" s="371"/>
      <c r="AW18" s="371"/>
      <c r="AX18" s="371"/>
      <c r="AY18" s="371"/>
      <c r="AZ18" s="371"/>
      <c r="BA18" s="371"/>
      <c r="BB18" s="371"/>
      <c r="BC18" s="371"/>
      <c r="BD18" s="371"/>
      <c r="BE18" s="371"/>
      <c r="BF18" s="371"/>
      <c r="BG18" s="371"/>
      <c r="BH18" s="371"/>
      <c r="BI18" s="371"/>
      <c r="BJ18" s="371"/>
      <c r="BK18" s="371"/>
      <c r="BL18" s="371"/>
      <c r="BM18" s="371"/>
      <c r="BN18" s="371"/>
      <c r="BO18" s="371"/>
      <c r="BP18" s="371"/>
    </row>
    <row r="19" spans="2:68" ht="14.25" customHeight="1">
      <c r="B19" s="367"/>
      <c r="C19" s="367"/>
      <c r="D19" s="367"/>
      <c r="E19" s="367"/>
      <c r="F19" s="367"/>
      <c r="G19" s="367"/>
      <c r="H19" s="368" t="s">
        <v>900</v>
      </c>
      <c r="I19" s="368"/>
      <c r="J19" s="368"/>
      <c r="K19" s="369">
        <f>IF(ISERROR('[1]日数 (1)'!D434),0,'[1]日数 (1)'!D434)</f>
        <v>6.5</v>
      </c>
      <c r="L19" s="369"/>
      <c r="M19" s="372">
        <v>2</v>
      </c>
      <c r="N19" s="372"/>
      <c r="O19" s="369">
        <f>ROUND('[1]日数表 (1)'!K19 / '[1]日数表 (1)'!M19,1)</f>
        <v>3.3</v>
      </c>
      <c r="P19" s="369"/>
      <c r="Q19" s="371"/>
      <c r="R19" s="371"/>
      <c r="S19" s="371"/>
      <c r="T19" s="371"/>
      <c r="U19" s="371"/>
      <c r="V19" s="371"/>
      <c r="W19" s="371"/>
      <c r="X19" s="371"/>
      <c r="Y19" s="371"/>
      <c r="Z19" s="371"/>
      <c r="AA19" s="371"/>
      <c r="AB19" s="371"/>
      <c r="AC19" s="371"/>
      <c r="AD19" s="371"/>
      <c r="AE19" s="371"/>
      <c r="AF19" s="371"/>
      <c r="AG19" s="371"/>
      <c r="AH19" s="371"/>
      <c r="AI19" s="371"/>
      <c r="AJ19" s="371"/>
      <c r="AK19" s="371"/>
      <c r="AL19" s="371"/>
      <c r="AM19" s="371"/>
      <c r="AN19" s="371"/>
      <c r="AO19" s="371"/>
      <c r="AP19" s="371"/>
      <c r="AQ19" s="371"/>
      <c r="AR19" s="371"/>
      <c r="AS19" s="371"/>
      <c r="AT19" s="371"/>
      <c r="AU19" s="371"/>
      <c r="AV19" s="371"/>
      <c r="AW19" s="371"/>
      <c r="AX19" s="371"/>
      <c r="AY19" s="371"/>
      <c r="AZ19" s="371"/>
      <c r="BA19" s="369">
        <f>'[1]基本 (1)'!N84</f>
        <v>3.3</v>
      </c>
      <c r="BB19" s="371"/>
      <c r="BC19" s="371"/>
      <c r="BD19" s="371"/>
      <c r="BE19" s="371"/>
      <c r="BF19" s="371"/>
      <c r="BG19" s="371"/>
      <c r="BH19" s="371"/>
      <c r="BI19" s="371"/>
      <c r="BJ19" s="371"/>
      <c r="BK19" s="371"/>
      <c r="BL19" s="371"/>
      <c r="BM19" s="371"/>
      <c r="BN19" s="371"/>
      <c r="BO19" s="371"/>
      <c r="BP19" s="371"/>
    </row>
    <row r="20" spans="2:68" ht="14.25" customHeight="1">
      <c r="B20" s="367" t="s">
        <v>901</v>
      </c>
      <c r="C20" s="367"/>
      <c r="D20" s="367"/>
      <c r="E20" s="367"/>
      <c r="F20" s="367"/>
      <c r="G20" s="367"/>
      <c r="H20" s="368"/>
      <c r="I20" s="368"/>
      <c r="J20" s="368"/>
      <c r="K20" s="369">
        <f>IF(ISERROR('[1]日数 (1)'!D496),0,'[1]日数 (1)'!D496)</f>
        <v>11.7</v>
      </c>
      <c r="L20" s="369"/>
      <c r="M20" s="372">
        <v>1</v>
      </c>
      <c r="N20" s="372"/>
      <c r="O20" s="369">
        <f>ROUND('[1]日数表 (1)'!K20 / '[1]日数表 (1)'!M20,1)</f>
        <v>11.7</v>
      </c>
      <c r="P20" s="369"/>
      <c r="Q20" s="371"/>
      <c r="R20" s="371"/>
      <c r="S20" s="369">
        <f>'[1]基本 (1)'!L85</f>
        <v>11.7</v>
      </c>
      <c r="T20" s="371"/>
      <c r="U20" s="369">
        <f>'[1]基本 (1)'!L85</f>
        <v>11.7</v>
      </c>
      <c r="V20" s="371"/>
      <c r="W20" s="371"/>
      <c r="X20" s="371"/>
      <c r="Y20" s="371"/>
      <c r="Z20" s="371"/>
      <c r="AA20" s="371"/>
      <c r="AB20" s="371"/>
      <c r="AC20" s="371"/>
      <c r="AD20" s="371"/>
      <c r="AE20" s="371"/>
      <c r="AF20" s="371"/>
      <c r="AG20" s="371"/>
      <c r="AH20" s="371"/>
      <c r="AI20" s="371"/>
      <c r="AJ20" s="371"/>
      <c r="AK20" s="371"/>
      <c r="AL20" s="371"/>
      <c r="AM20" s="371"/>
      <c r="AN20" s="371"/>
      <c r="AO20" s="371"/>
      <c r="AP20" s="371"/>
      <c r="AQ20" s="371"/>
      <c r="AR20" s="371"/>
      <c r="AS20" s="371"/>
      <c r="AT20" s="371"/>
      <c r="AU20" s="371"/>
      <c r="AV20" s="371"/>
      <c r="AW20" s="369">
        <f>'[1]基本 (1)'!L85</f>
        <v>11.7</v>
      </c>
      <c r="AX20" s="371"/>
      <c r="AY20" s="371"/>
      <c r="AZ20" s="371"/>
      <c r="BA20" s="371"/>
      <c r="BB20" s="371"/>
      <c r="BC20" s="369">
        <f>'[1]基本 (1)'!L85</f>
        <v>11.7</v>
      </c>
      <c r="BD20" s="371"/>
      <c r="BE20" s="369">
        <f>'[1]基本 (1)'!L85</f>
        <v>11.7</v>
      </c>
      <c r="BF20" s="371"/>
      <c r="BG20" s="371"/>
      <c r="BH20" s="371"/>
      <c r="BI20" s="369">
        <f>'[1]基本 (1)'!L85</f>
        <v>11.7</v>
      </c>
      <c r="BJ20" s="371"/>
      <c r="BK20" s="371"/>
      <c r="BL20" s="371"/>
      <c r="BM20" s="371"/>
      <c r="BN20" s="371"/>
      <c r="BO20" s="371"/>
      <c r="BP20" s="371"/>
    </row>
    <row r="21" spans="2:68" ht="14.25" customHeight="1">
      <c r="B21" s="367" t="s">
        <v>902</v>
      </c>
      <c r="C21" s="367"/>
      <c r="D21" s="367"/>
      <c r="E21" s="367"/>
      <c r="F21" s="367"/>
      <c r="G21" s="367"/>
      <c r="H21" s="368"/>
      <c r="I21" s="368"/>
      <c r="J21" s="368"/>
      <c r="K21" s="369">
        <f>IF(ISERROR('[1]日数 (1)'!D547),0,'[1]日数 (1)'!D547)</f>
        <v>12</v>
      </c>
      <c r="L21" s="369"/>
      <c r="M21" s="372">
        <v>2</v>
      </c>
      <c r="N21" s="372"/>
      <c r="O21" s="369">
        <f>ROUND('[1]日数表 (1)'!K21 / '[1]日数表 (1)'!M21,1)</f>
        <v>6</v>
      </c>
      <c r="P21" s="369"/>
      <c r="Q21" s="371"/>
      <c r="R21" s="371"/>
      <c r="S21" s="369">
        <f>'[1]基本 (1)'!L86</f>
        <v>6</v>
      </c>
      <c r="T21" s="371"/>
      <c r="U21" s="369">
        <f>'[1]基本 (1)'!L86</f>
        <v>6</v>
      </c>
      <c r="V21" s="371"/>
      <c r="W21" s="369">
        <f>'[1]基本 (1)'!L86</f>
        <v>6</v>
      </c>
      <c r="X21" s="371"/>
      <c r="Y21" s="369">
        <f>'[1]基本 (1)'!L86</f>
        <v>6</v>
      </c>
      <c r="Z21" s="371"/>
      <c r="AA21" s="369">
        <f>'[1]基本 (1)'!L86</f>
        <v>6</v>
      </c>
      <c r="AB21" s="371"/>
      <c r="AC21" s="369">
        <f>'[1]基本 (1)'!L86</f>
        <v>6</v>
      </c>
      <c r="AD21" s="371"/>
      <c r="AE21" s="369">
        <f>'[1]基本 (1)'!L86*((('[1]基本 (1)'!D7-(2- 1)) /('[1]基本 (1)'!D7)))</f>
        <v>4</v>
      </c>
      <c r="AF21" s="371"/>
      <c r="AG21" s="369">
        <f>'[1]基本 (1)'!L86*((('[1]基本 (1)'!D7-(3- 1)) /('[1]基本 (1)'!D7)))</f>
        <v>2</v>
      </c>
      <c r="AH21" s="371"/>
      <c r="AI21" s="371"/>
      <c r="AJ21" s="371"/>
      <c r="AK21" s="371"/>
      <c r="AL21" s="371"/>
      <c r="AM21" s="371"/>
      <c r="AN21" s="371"/>
      <c r="AO21" s="371"/>
      <c r="AP21" s="371"/>
      <c r="AQ21" s="371"/>
      <c r="AR21" s="371"/>
      <c r="AS21" s="371"/>
      <c r="AT21" s="371"/>
      <c r="AU21" s="371"/>
      <c r="AV21" s="371"/>
      <c r="AW21" s="369">
        <f>'[1]基本 (1)'!L86</f>
        <v>6</v>
      </c>
      <c r="AX21" s="371"/>
      <c r="AY21" s="371"/>
      <c r="AZ21" s="371"/>
      <c r="BA21" s="369">
        <f>'[1]基本 (1)'!L86</f>
        <v>6</v>
      </c>
      <c r="BB21" s="371"/>
      <c r="BC21" s="369">
        <f>'[1]基本 (1)'!L86</f>
        <v>6</v>
      </c>
      <c r="BD21" s="371"/>
      <c r="BE21" s="369">
        <f>'[1]基本 (1)'!L86</f>
        <v>6</v>
      </c>
      <c r="BF21" s="371"/>
      <c r="BG21" s="371"/>
      <c r="BH21" s="371"/>
      <c r="BI21" s="369">
        <f>'[1]基本 (1)'!L86</f>
        <v>6</v>
      </c>
      <c r="BJ21" s="371"/>
      <c r="BK21" s="371"/>
      <c r="BL21" s="371"/>
      <c r="BM21" s="369">
        <f>'[1]基本 (1)'!L86</f>
        <v>6</v>
      </c>
      <c r="BN21" s="371"/>
      <c r="BO21" s="369">
        <f>'[1]基本 (1)'!L86</f>
        <v>6</v>
      </c>
      <c r="BP21" s="371"/>
    </row>
    <row r="22" spans="2:68" ht="14.25" customHeight="1">
      <c r="B22" s="367" t="s">
        <v>903</v>
      </c>
      <c r="C22" s="367"/>
      <c r="D22" s="367"/>
      <c r="E22" s="367"/>
      <c r="F22" s="367"/>
      <c r="G22" s="367"/>
      <c r="H22" s="368"/>
      <c r="I22" s="368"/>
      <c r="J22" s="368"/>
      <c r="K22" s="369">
        <f>SUM(K23:L27)</f>
        <v>17.7</v>
      </c>
      <c r="L22" s="369"/>
      <c r="M22" s="370"/>
      <c r="N22" s="370"/>
      <c r="O22" s="369">
        <f>SUM(O23:P27)</f>
        <v>17.7</v>
      </c>
      <c r="P22" s="369"/>
      <c r="Q22" s="371"/>
      <c r="R22" s="371"/>
      <c r="S22" s="369">
        <f>'[1]基本 (1)'!L87</f>
        <v>17.7</v>
      </c>
      <c r="T22" s="371"/>
      <c r="U22" s="369">
        <f>'[1]基本 (1)'!L87</f>
        <v>17.7</v>
      </c>
      <c r="V22" s="371"/>
      <c r="W22" s="369">
        <f>'[1]基本 (1)'!L87</f>
        <v>17.7</v>
      </c>
      <c r="X22" s="371"/>
      <c r="Y22" s="369">
        <f>'[1]基本 (1)'!L87</f>
        <v>17.7</v>
      </c>
      <c r="Z22" s="371"/>
      <c r="AA22" s="371"/>
      <c r="AB22" s="371"/>
      <c r="AC22" s="371"/>
      <c r="AD22" s="371"/>
      <c r="AE22" s="371"/>
      <c r="AF22" s="371"/>
      <c r="AG22" s="371"/>
      <c r="AH22" s="371"/>
      <c r="AI22" s="371"/>
      <c r="AJ22" s="371"/>
      <c r="AK22" s="371"/>
      <c r="AL22" s="371"/>
      <c r="AM22" s="371"/>
      <c r="AN22" s="371"/>
      <c r="AO22" s="371"/>
      <c r="AP22" s="371"/>
      <c r="AQ22" s="371"/>
      <c r="AR22" s="371"/>
      <c r="AS22" s="371"/>
      <c r="AT22" s="371"/>
      <c r="AU22" s="371"/>
      <c r="AV22" s="371"/>
      <c r="AW22" s="369">
        <f>'[1]基本 (1)'!L87</f>
        <v>17.7</v>
      </c>
      <c r="AX22" s="371"/>
      <c r="AY22" s="371"/>
      <c r="AZ22" s="371"/>
      <c r="BA22" s="369">
        <f>'[1]基本 (1)'!L87</f>
        <v>17.7</v>
      </c>
      <c r="BB22" s="371"/>
      <c r="BC22" s="369">
        <f>'[1]基本 (1)'!L87</f>
        <v>17.7</v>
      </c>
      <c r="BD22" s="371"/>
      <c r="BE22" s="369">
        <f>'[1]基本 (1)'!L87</f>
        <v>17.7</v>
      </c>
      <c r="BF22" s="371"/>
      <c r="BG22" s="369">
        <f>'[1]基本 (1)'!L87</f>
        <v>17.7</v>
      </c>
      <c r="BH22" s="371"/>
      <c r="BI22" s="369">
        <f>'[1]基本 (1)'!L87</f>
        <v>17.7</v>
      </c>
      <c r="BJ22" s="371"/>
      <c r="BK22" s="371"/>
      <c r="BL22" s="371"/>
      <c r="BM22" s="371"/>
      <c r="BN22" s="371"/>
      <c r="BO22" s="371"/>
      <c r="BP22" s="371"/>
    </row>
    <row r="23" spans="2:68" ht="14.25" customHeight="1">
      <c r="B23" s="367"/>
      <c r="C23" s="367"/>
      <c r="D23" s="367"/>
      <c r="E23" s="367"/>
      <c r="F23" s="367"/>
      <c r="G23" s="367"/>
      <c r="H23" s="368" t="s">
        <v>904</v>
      </c>
      <c r="I23" s="368"/>
      <c r="J23" s="368"/>
      <c r="K23" s="369">
        <f>IF(ISERROR('[1]日数 (1)'!D572),0,'[1]日数 (1)'!D572)</f>
        <v>12.5</v>
      </c>
      <c r="L23" s="369"/>
      <c r="M23" s="372">
        <v>1</v>
      </c>
      <c r="N23" s="372"/>
      <c r="O23" s="369">
        <f>ROUND('[1]日数表 (1)'!K23 / '[1]日数表 (1)'!M23,1)</f>
        <v>12.5</v>
      </c>
      <c r="P23" s="369"/>
      <c r="Q23" s="373"/>
      <c r="R23" s="373"/>
      <c r="S23" s="373"/>
      <c r="T23" s="373"/>
      <c r="U23" s="373"/>
      <c r="V23" s="373"/>
      <c r="W23" s="373"/>
      <c r="X23" s="373"/>
      <c r="Y23" s="373"/>
      <c r="Z23" s="373"/>
      <c r="AA23" s="369">
        <f>'[1]基本 (1)'!N88</f>
        <v>12.5</v>
      </c>
      <c r="AB23" s="373"/>
      <c r="AC23" s="369">
        <f>'[1]基本 (1)'!N88</f>
        <v>12.5</v>
      </c>
      <c r="AD23" s="373"/>
      <c r="AE23" s="369">
        <f>'[1]基本 (1)'!N88*((('[1]基本 (1)'!D7-(2- 1)) /('[1]基本 (1)'!D7)))</f>
        <v>8.3333333333333321</v>
      </c>
      <c r="AF23" s="373"/>
      <c r="AG23" s="369">
        <f>'[1]基本 (1)'!N88*((('[1]基本 (1)'!D7-(3- 1)) /('[1]基本 (1)'!D7)))</f>
        <v>4.1666666666666661</v>
      </c>
      <c r="AH23" s="373"/>
      <c r="AI23" s="373"/>
      <c r="AJ23" s="373"/>
      <c r="AK23" s="373"/>
      <c r="AL23" s="373"/>
      <c r="AM23" s="373"/>
      <c r="AN23" s="373"/>
      <c r="AO23" s="373"/>
      <c r="AP23" s="373"/>
      <c r="AQ23" s="373"/>
      <c r="AR23" s="373"/>
      <c r="AS23" s="373"/>
      <c r="AT23" s="373"/>
      <c r="AU23" s="373"/>
      <c r="AV23" s="373"/>
      <c r="AW23" s="373"/>
      <c r="AX23" s="373"/>
      <c r="AY23" s="373"/>
      <c r="AZ23" s="373"/>
      <c r="BA23" s="373"/>
      <c r="BB23" s="373"/>
      <c r="BC23" s="373"/>
      <c r="BD23" s="373"/>
      <c r="BE23" s="373"/>
      <c r="BF23" s="373"/>
      <c r="BG23" s="373"/>
      <c r="BH23" s="373"/>
      <c r="BI23" s="373"/>
      <c r="BJ23" s="373"/>
      <c r="BK23" s="373"/>
      <c r="BL23" s="373"/>
      <c r="BM23" s="369">
        <f>'[1]基本 (1)'!N88</f>
        <v>12.5</v>
      </c>
      <c r="BN23" s="373"/>
      <c r="BO23" s="369">
        <f>'[1]基本 (1)'!N88</f>
        <v>12.5</v>
      </c>
      <c r="BP23" s="373"/>
    </row>
    <row r="24" spans="2:68" ht="14.25" customHeight="1">
      <c r="B24" s="367"/>
      <c r="C24" s="367"/>
      <c r="D24" s="367"/>
      <c r="E24" s="367"/>
      <c r="F24" s="367"/>
      <c r="G24" s="367"/>
      <c r="H24" s="368" t="s">
        <v>905</v>
      </c>
      <c r="I24" s="368"/>
      <c r="J24" s="368"/>
      <c r="K24" s="369">
        <f>IF(ISERROR('[1]日数 (1)'!D589),0,'[1]日数 (1)'!D589)</f>
        <v>3.9</v>
      </c>
      <c r="L24" s="369"/>
      <c r="M24" s="372">
        <v>1</v>
      </c>
      <c r="N24" s="372"/>
      <c r="O24" s="369">
        <f>ROUND('[1]日数表 (1)'!K24 / '[1]日数表 (1)'!M24,1)</f>
        <v>3.9</v>
      </c>
      <c r="P24" s="369"/>
      <c r="Q24" s="373"/>
      <c r="R24" s="373"/>
      <c r="S24" s="373"/>
      <c r="T24" s="373"/>
      <c r="U24" s="373"/>
      <c r="V24" s="373"/>
      <c r="W24" s="373"/>
      <c r="X24" s="373"/>
      <c r="Y24" s="373"/>
      <c r="Z24" s="373"/>
      <c r="AA24" s="369">
        <f>'[1]基本 (1)'!N89</f>
        <v>3.9</v>
      </c>
      <c r="AB24" s="373"/>
      <c r="AC24" s="369">
        <f>'[1]基本 (1)'!N89</f>
        <v>3.9</v>
      </c>
      <c r="AD24" s="373"/>
      <c r="AE24" s="369">
        <f>'[1]基本 (1)'!N89*((('[1]基本 (1)'!D7-(2- 1)) /('[1]基本 (1)'!D7)))</f>
        <v>2.5999999999999996</v>
      </c>
      <c r="AF24" s="373"/>
      <c r="AG24" s="369">
        <f>'[1]基本 (1)'!N89*((('[1]基本 (1)'!D7-(3- 1)) /('[1]基本 (1)'!D7)))</f>
        <v>1.2999999999999998</v>
      </c>
      <c r="AH24" s="373"/>
      <c r="AI24" s="373"/>
      <c r="AJ24" s="373"/>
      <c r="AK24" s="373"/>
      <c r="AL24" s="373"/>
      <c r="AM24" s="373"/>
      <c r="AN24" s="373"/>
      <c r="AO24" s="373"/>
      <c r="AP24" s="373"/>
      <c r="AQ24" s="373"/>
      <c r="AR24" s="373"/>
      <c r="AS24" s="373"/>
      <c r="AT24" s="373"/>
      <c r="AU24" s="373"/>
      <c r="AV24" s="373"/>
      <c r="AW24" s="373"/>
      <c r="AX24" s="373"/>
      <c r="AY24" s="373"/>
      <c r="AZ24" s="373"/>
      <c r="BA24" s="373"/>
      <c r="BB24" s="373"/>
      <c r="BC24" s="373"/>
      <c r="BD24" s="373"/>
      <c r="BE24" s="373"/>
      <c r="BF24" s="373"/>
      <c r="BG24" s="373"/>
      <c r="BH24" s="373"/>
      <c r="BI24" s="373"/>
      <c r="BJ24" s="373"/>
      <c r="BK24" s="373"/>
      <c r="BL24" s="373"/>
      <c r="BM24" s="369">
        <f>'[1]基本 (1)'!N89</f>
        <v>3.9</v>
      </c>
      <c r="BN24" s="373"/>
      <c r="BO24" s="369">
        <f>'[1]基本 (1)'!N89</f>
        <v>3.9</v>
      </c>
      <c r="BP24" s="373"/>
    </row>
    <row r="25" spans="2:68" ht="14.25" customHeight="1">
      <c r="B25" s="367"/>
      <c r="C25" s="367"/>
      <c r="D25" s="367"/>
      <c r="E25" s="367"/>
      <c r="F25" s="367"/>
      <c r="G25" s="367"/>
      <c r="H25" s="368" t="s">
        <v>906</v>
      </c>
      <c r="I25" s="368"/>
      <c r="J25" s="368"/>
      <c r="K25" s="369">
        <f>IF(ISERROR('[1]日数 (1)'!D606),0,'[1]日数 (1)'!D606)</f>
        <v>1.3</v>
      </c>
      <c r="L25" s="369"/>
      <c r="M25" s="372">
        <v>1</v>
      </c>
      <c r="N25" s="372"/>
      <c r="O25" s="369">
        <f>ROUND('[1]日数表 (1)'!K25 / '[1]日数表 (1)'!M25,1)</f>
        <v>1.3</v>
      </c>
      <c r="P25" s="369"/>
      <c r="Q25" s="373"/>
      <c r="R25" s="373"/>
      <c r="S25" s="373"/>
      <c r="T25" s="373"/>
      <c r="U25" s="373"/>
      <c r="V25" s="373"/>
      <c r="W25" s="373"/>
      <c r="X25" s="373"/>
      <c r="Y25" s="373"/>
      <c r="Z25" s="373"/>
      <c r="AA25" s="373"/>
      <c r="AB25" s="373"/>
      <c r="AC25" s="373"/>
      <c r="AD25" s="373"/>
      <c r="AE25" s="373"/>
      <c r="AF25" s="373"/>
      <c r="AG25" s="373"/>
      <c r="AH25" s="373"/>
      <c r="AI25" s="373"/>
      <c r="AJ25" s="373"/>
      <c r="AK25" s="373"/>
      <c r="AL25" s="373"/>
      <c r="AM25" s="373"/>
      <c r="AN25" s="373"/>
      <c r="AO25" s="373"/>
      <c r="AP25" s="373"/>
      <c r="AQ25" s="373"/>
      <c r="AR25" s="373"/>
      <c r="AS25" s="373"/>
      <c r="AT25" s="373"/>
      <c r="AU25" s="373"/>
      <c r="AV25" s="373"/>
      <c r="AW25" s="373"/>
      <c r="AX25" s="373"/>
      <c r="AY25" s="373"/>
      <c r="AZ25" s="373"/>
      <c r="BA25" s="373"/>
      <c r="BB25" s="373"/>
      <c r="BC25" s="373"/>
      <c r="BD25" s="373"/>
      <c r="BE25" s="373"/>
      <c r="BF25" s="373"/>
      <c r="BG25" s="373"/>
      <c r="BH25" s="373"/>
      <c r="BI25" s="373"/>
      <c r="BJ25" s="373"/>
      <c r="BK25" s="373"/>
      <c r="BL25" s="373"/>
      <c r="BM25" s="373"/>
      <c r="BN25" s="373"/>
      <c r="BO25" s="373"/>
      <c r="BP25" s="373"/>
    </row>
    <row r="26" spans="2:68" ht="14.25" hidden="1" customHeight="1">
      <c r="B26" s="367"/>
      <c r="C26" s="367"/>
      <c r="D26" s="367"/>
      <c r="E26" s="367"/>
      <c r="F26" s="367"/>
      <c r="G26" s="367"/>
      <c r="H26" s="368" t="s">
        <v>907</v>
      </c>
      <c r="I26" s="368"/>
      <c r="J26" s="368"/>
      <c r="K26" s="369"/>
      <c r="L26" s="369"/>
      <c r="M26" s="372"/>
      <c r="N26" s="372"/>
      <c r="O26" s="369">
        <v>0</v>
      </c>
      <c r="P26" s="369"/>
      <c r="Q26" s="373"/>
      <c r="R26" s="373"/>
      <c r="S26" s="373"/>
      <c r="T26" s="373"/>
      <c r="U26" s="373"/>
      <c r="V26" s="373"/>
      <c r="W26" s="373"/>
      <c r="X26" s="373"/>
      <c r="Y26" s="373"/>
      <c r="Z26" s="373"/>
      <c r="AA26" s="373"/>
      <c r="AB26" s="373"/>
      <c r="AC26" s="373"/>
      <c r="AD26" s="373"/>
      <c r="AE26" s="373"/>
      <c r="AF26" s="373"/>
      <c r="AG26" s="373"/>
      <c r="AH26" s="373"/>
      <c r="AI26" s="373"/>
      <c r="AJ26" s="373"/>
      <c r="AK26" s="373"/>
      <c r="AL26" s="373"/>
      <c r="AM26" s="373"/>
      <c r="AN26" s="373"/>
      <c r="AO26" s="373"/>
      <c r="AP26" s="373"/>
      <c r="AQ26" s="373"/>
      <c r="AR26" s="373"/>
      <c r="AS26" s="373"/>
      <c r="AT26" s="373"/>
      <c r="AU26" s="373"/>
      <c r="AV26" s="373"/>
      <c r="AW26" s="373"/>
      <c r="AX26" s="373"/>
      <c r="AY26" s="373"/>
      <c r="AZ26" s="373"/>
      <c r="BA26" s="373"/>
      <c r="BB26" s="373"/>
      <c r="BC26" s="373"/>
      <c r="BD26" s="373"/>
      <c r="BE26" s="373"/>
      <c r="BF26" s="373"/>
      <c r="BG26" s="373"/>
      <c r="BH26" s="373"/>
      <c r="BI26" s="373"/>
      <c r="BJ26" s="373"/>
      <c r="BK26" s="373"/>
      <c r="BL26" s="373"/>
      <c r="BM26" s="373"/>
      <c r="BN26" s="373"/>
      <c r="BO26" s="373"/>
      <c r="BP26" s="373"/>
    </row>
    <row r="27" spans="2:68" ht="14.25" hidden="1" customHeight="1">
      <c r="B27" s="367"/>
      <c r="C27" s="367"/>
      <c r="D27" s="367"/>
      <c r="E27" s="367"/>
      <c r="F27" s="367"/>
      <c r="G27" s="367"/>
      <c r="H27" s="368" t="s">
        <v>908</v>
      </c>
      <c r="I27" s="368"/>
      <c r="J27" s="368"/>
      <c r="K27" s="369"/>
      <c r="L27" s="369"/>
      <c r="M27" s="372"/>
      <c r="N27" s="372"/>
      <c r="O27" s="369">
        <v>0</v>
      </c>
      <c r="P27" s="369"/>
      <c r="Q27" s="373"/>
      <c r="R27" s="373"/>
      <c r="S27" s="373"/>
      <c r="T27" s="373"/>
      <c r="U27" s="373"/>
      <c r="V27" s="373"/>
      <c r="W27" s="373"/>
      <c r="X27" s="373"/>
      <c r="Y27" s="373"/>
      <c r="Z27" s="373"/>
      <c r="AA27" s="373"/>
      <c r="AB27" s="373"/>
      <c r="AC27" s="373"/>
      <c r="AD27" s="373"/>
      <c r="AE27" s="373"/>
      <c r="AF27" s="373"/>
      <c r="AG27" s="373"/>
      <c r="AH27" s="373"/>
      <c r="AI27" s="373"/>
      <c r="AJ27" s="373"/>
      <c r="AK27" s="373"/>
      <c r="AL27" s="373"/>
      <c r="AM27" s="373"/>
      <c r="AN27" s="373"/>
      <c r="AO27" s="373"/>
      <c r="AP27" s="373"/>
      <c r="AQ27" s="373"/>
      <c r="AR27" s="373"/>
      <c r="AS27" s="373"/>
      <c r="AT27" s="373"/>
      <c r="AU27" s="373"/>
      <c r="AV27" s="373"/>
      <c r="AW27" s="373"/>
      <c r="AX27" s="373"/>
      <c r="AY27" s="373"/>
      <c r="AZ27" s="373"/>
      <c r="BA27" s="373"/>
      <c r="BB27" s="373"/>
      <c r="BC27" s="373"/>
      <c r="BD27" s="373"/>
      <c r="BE27" s="373"/>
      <c r="BF27" s="373"/>
      <c r="BG27" s="373"/>
      <c r="BH27" s="373"/>
      <c r="BI27" s="373"/>
      <c r="BJ27" s="373"/>
      <c r="BK27" s="373"/>
      <c r="BL27" s="373"/>
      <c r="BM27" s="373"/>
      <c r="BN27" s="373"/>
      <c r="BO27" s="373"/>
      <c r="BP27" s="373"/>
    </row>
    <row r="28" spans="2:68" ht="14.25" customHeight="1">
      <c r="B28" s="374" t="s">
        <v>909</v>
      </c>
      <c r="C28" s="374"/>
      <c r="D28" s="374"/>
      <c r="E28" s="374"/>
      <c r="F28" s="374"/>
      <c r="G28" s="374"/>
      <c r="H28" s="375"/>
      <c r="I28" s="375"/>
      <c r="J28" s="375"/>
      <c r="K28" s="376">
        <f>IF(ISERROR('[1]日数 (1)'!D676),0,'[1]日数 (1)'!D676)</f>
        <v>30</v>
      </c>
      <c r="L28" s="376"/>
      <c r="M28" s="377">
        <v>2</v>
      </c>
      <c r="N28" s="377"/>
      <c r="O28" s="376">
        <f>ROUND('[1]日数表 (1)'!K28 / '[1]日数表 (1)'!M28,1)</f>
        <v>15</v>
      </c>
      <c r="P28" s="376"/>
      <c r="Q28" s="378"/>
      <c r="R28" s="378"/>
      <c r="S28" s="378"/>
      <c r="T28" s="378"/>
      <c r="U28" s="378"/>
      <c r="V28" s="378"/>
      <c r="W28" s="378"/>
      <c r="X28" s="378"/>
      <c r="Y28" s="378"/>
      <c r="Z28" s="378"/>
      <c r="AA28" s="378"/>
      <c r="AB28" s="378"/>
      <c r="AC28" s="378"/>
      <c r="AD28" s="378"/>
      <c r="AE28" s="378"/>
      <c r="AF28" s="378"/>
      <c r="AG28" s="378"/>
      <c r="AH28" s="378"/>
      <c r="AI28" s="378"/>
      <c r="AJ28" s="378"/>
      <c r="AK28" s="378"/>
      <c r="AL28" s="378"/>
      <c r="AM28" s="378"/>
      <c r="AN28" s="378"/>
      <c r="AO28" s="378"/>
      <c r="AP28" s="378"/>
      <c r="AQ28" s="378"/>
      <c r="AR28" s="378"/>
      <c r="AS28" s="378"/>
      <c r="AT28" s="378"/>
      <c r="AU28" s="378"/>
      <c r="AV28" s="378"/>
      <c r="AW28" s="378"/>
      <c r="AX28" s="378"/>
      <c r="AY28" s="378"/>
      <c r="AZ28" s="378"/>
      <c r="BA28" s="378"/>
      <c r="BB28" s="378"/>
      <c r="BC28" s="378"/>
      <c r="BD28" s="378"/>
      <c r="BE28" s="378"/>
      <c r="BF28" s="378"/>
      <c r="BG28" s="378"/>
      <c r="BH28" s="378"/>
      <c r="BI28" s="378"/>
      <c r="BJ28" s="378"/>
      <c r="BK28" s="378"/>
      <c r="BL28" s="378"/>
      <c r="BM28" s="378"/>
      <c r="BN28" s="378"/>
      <c r="BO28" s="378"/>
      <c r="BP28" s="378"/>
    </row>
    <row r="29" spans="2:68" ht="14.25" customHeight="1">
      <c r="B29" s="379" t="s">
        <v>910</v>
      </c>
      <c r="C29" s="379"/>
      <c r="D29" s="379"/>
      <c r="E29" s="379"/>
      <c r="F29" s="379"/>
      <c r="G29" s="379"/>
      <c r="H29" s="380"/>
      <c r="I29" s="380"/>
      <c r="J29" s="380"/>
      <c r="K29" s="381">
        <f>IF(ISERROR('[1]基本 (1)'!E124),0,'[1]基本 (1)'!E124)</f>
        <v>16.899999999999999</v>
      </c>
      <c r="L29" s="381"/>
      <c r="M29" s="382"/>
      <c r="N29" s="382"/>
      <c r="O29" s="381">
        <f>ROUND('[1]日数表 (1)'!K29 / '[1]日数表 (1)'!M28,1)</f>
        <v>8.5</v>
      </c>
      <c r="P29" s="381"/>
      <c r="Q29" s="383"/>
      <c r="R29" s="383"/>
      <c r="S29" s="381">
        <f>'[1]基本 (1)'!L94</f>
        <v>16.899999999999999</v>
      </c>
      <c r="T29" s="383"/>
      <c r="U29" s="381">
        <f>'[1]基本 (1)'!L94</f>
        <v>16.899999999999999</v>
      </c>
      <c r="V29" s="383"/>
      <c r="W29" s="381">
        <f>'[1]基本 (1)'!L94</f>
        <v>16.899999999999999</v>
      </c>
      <c r="X29" s="383"/>
      <c r="Y29" s="381">
        <f>'[1]基本 (1)'!L94</f>
        <v>16.899999999999999</v>
      </c>
      <c r="Z29" s="383"/>
      <c r="AA29" s="381">
        <f>'[1]基本 (1)'!L94</f>
        <v>16.899999999999999</v>
      </c>
      <c r="AB29" s="383"/>
      <c r="AC29" s="381">
        <f>'[1]基本 (1)'!L94</f>
        <v>16.899999999999999</v>
      </c>
      <c r="AD29" s="383"/>
      <c r="AE29" s="381">
        <f>'[1]基本 (1)'!L94*((('[1]基本 (1)'!D7-(2- 1)) /('[1]基本 (1)'!D7)))</f>
        <v>11.266666666666666</v>
      </c>
      <c r="AF29" s="383"/>
      <c r="AG29" s="381">
        <f>'[1]基本 (1)'!L94*((('[1]基本 (1)'!D7-(3- 1)) /('[1]基本 (1)'!D7)))</f>
        <v>5.6333333333333329</v>
      </c>
      <c r="AH29" s="383"/>
      <c r="AI29" s="383"/>
      <c r="AJ29" s="383"/>
      <c r="AK29" s="383"/>
      <c r="AL29" s="383"/>
      <c r="AM29" s="383"/>
      <c r="AN29" s="383"/>
      <c r="AO29" s="383"/>
      <c r="AP29" s="383"/>
      <c r="AQ29" s="383"/>
      <c r="AR29" s="383"/>
      <c r="AS29" s="383"/>
      <c r="AT29" s="383"/>
      <c r="AU29" s="383"/>
      <c r="AV29" s="383"/>
      <c r="AW29" s="381">
        <f>'[1]基本 (1)'!L94</f>
        <v>16.899999999999999</v>
      </c>
      <c r="AX29" s="383"/>
      <c r="AY29" s="383"/>
      <c r="AZ29" s="383"/>
      <c r="BA29" s="381">
        <f>'[1]基本 (1)'!L94</f>
        <v>16.899999999999999</v>
      </c>
      <c r="BB29" s="383"/>
      <c r="BC29" s="381">
        <f>'[1]基本 (1)'!L94</f>
        <v>16.899999999999999</v>
      </c>
      <c r="BD29" s="383"/>
      <c r="BE29" s="381">
        <f>'[1]基本 (1)'!L94</f>
        <v>16.899999999999999</v>
      </c>
      <c r="BF29" s="383"/>
      <c r="BG29" s="381">
        <f>'[1]基本 (1)'!L94</f>
        <v>16.899999999999999</v>
      </c>
      <c r="BH29" s="383"/>
      <c r="BI29" s="381">
        <f>'[1]基本 (1)'!L94</f>
        <v>16.899999999999999</v>
      </c>
      <c r="BJ29" s="383"/>
      <c r="BK29" s="383"/>
      <c r="BL29" s="383"/>
      <c r="BM29" s="381">
        <f>'[1]基本 (1)'!L94</f>
        <v>16.899999999999999</v>
      </c>
      <c r="BN29" s="383"/>
      <c r="BO29" s="381">
        <f>'[1]基本 (1)'!L94</f>
        <v>16.899999999999999</v>
      </c>
      <c r="BP29" s="383"/>
    </row>
    <row r="30" spans="2:68" ht="14.25" customHeight="1">
      <c r="B30" s="367" t="s">
        <v>911</v>
      </c>
      <c r="C30" s="367"/>
      <c r="D30" s="367"/>
      <c r="E30" s="367"/>
      <c r="F30" s="367"/>
      <c r="G30" s="367"/>
      <c r="H30" s="368"/>
      <c r="I30" s="368"/>
      <c r="J30" s="368"/>
      <c r="K30" s="369">
        <f>IF(ISERROR('[1]日数 (1)'!D689),0,'[1]日数 (1)'!D689)</f>
        <v>13</v>
      </c>
      <c r="L30" s="369"/>
      <c r="M30" s="372">
        <v>2</v>
      </c>
      <c r="N30" s="372"/>
      <c r="O30" s="369">
        <f>ROUND('[1]日数表 (1)'!K30 / '[1]日数表 (1)'!M30,1)</f>
        <v>6.5</v>
      </c>
      <c r="P30" s="369"/>
      <c r="Q30" s="373"/>
      <c r="R30" s="373"/>
      <c r="S30" s="369">
        <f>'[1]基本 (1)'!L95</f>
        <v>6.5</v>
      </c>
      <c r="T30" s="373"/>
      <c r="U30" s="369">
        <f>'[1]基本 (1)'!L95</f>
        <v>6.5</v>
      </c>
      <c r="V30" s="373"/>
      <c r="W30" s="369">
        <f>'[1]基本 (1)'!L95</f>
        <v>6.5</v>
      </c>
      <c r="X30" s="373"/>
      <c r="Y30" s="369">
        <f>'[1]基本 (1)'!L95</f>
        <v>6.5</v>
      </c>
      <c r="Z30" s="373"/>
      <c r="AA30" s="369">
        <f>'[1]基本 (1)'!L95</f>
        <v>6.5</v>
      </c>
      <c r="AB30" s="373"/>
      <c r="AC30" s="369">
        <f>'[1]基本 (1)'!L95</f>
        <v>6.5</v>
      </c>
      <c r="AD30" s="373"/>
      <c r="AE30" s="369">
        <f>'[1]基本 (1)'!L95*((('[1]基本 (1)'!D7-(2- 1)) /('[1]基本 (1)'!D7)))</f>
        <v>4.333333333333333</v>
      </c>
      <c r="AF30" s="373"/>
      <c r="AG30" s="369">
        <f>'[1]基本 (1)'!L95*((('[1]基本 (1)'!D7-(3- 1)) /('[1]基本 (1)'!D7)))</f>
        <v>2.1666666666666665</v>
      </c>
      <c r="AH30" s="373"/>
      <c r="AI30" s="373"/>
      <c r="AJ30" s="373"/>
      <c r="AK30" s="373"/>
      <c r="AL30" s="373"/>
      <c r="AM30" s="373"/>
      <c r="AN30" s="373"/>
      <c r="AO30" s="373"/>
      <c r="AP30" s="373"/>
      <c r="AQ30" s="373"/>
      <c r="AR30" s="373"/>
      <c r="AS30" s="373"/>
      <c r="AT30" s="373"/>
      <c r="AU30" s="373"/>
      <c r="AV30" s="373"/>
      <c r="AW30" s="369">
        <f>'[1]基本 (1)'!L95</f>
        <v>6.5</v>
      </c>
      <c r="AX30" s="373"/>
      <c r="AY30" s="373"/>
      <c r="AZ30" s="373"/>
      <c r="BA30" s="369">
        <f>'[1]基本 (1)'!L95</f>
        <v>6.5</v>
      </c>
      <c r="BB30" s="373"/>
      <c r="BC30" s="369">
        <f>'[1]基本 (1)'!L95</f>
        <v>6.5</v>
      </c>
      <c r="BD30" s="373"/>
      <c r="BE30" s="369">
        <f>'[1]基本 (1)'!L95</f>
        <v>6.5</v>
      </c>
      <c r="BF30" s="373"/>
      <c r="BG30" s="369">
        <f>'[1]基本 (1)'!L95</f>
        <v>6.5</v>
      </c>
      <c r="BH30" s="373"/>
      <c r="BI30" s="369">
        <f>'[1]基本 (1)'!L95</f>
        <v>6.5</v>
      </c>
      <c r="BJ30" s="373"/>
      <c r="BK30" s="373"/>
      <c r="BL30" s="373"/>
      <c r="BM30" s="369">
        <f>'[1]基本 (1)'!L95</f>
        <v>6.5</v>
      </c>
      <c r="BN30" s="373"/>
      <c r="BO30" s="369">
        <f>'[1]基本 (1)'!L95</f>
        <v>6.5</v>
      </c>
      <c r="BP30" s="373"/>
    </row>
    <row r="31" spans="2:68" ht="14.25" customHeight="1">
      <c r="B31" s="367" t="s">
        <v>912</v>
      </c>
      <c r="C31" s="367"/>
      <c r="D31" s="367"/>
      <c r="E31" s="367"/>
      <c r="F31" s="367"/>
      <c r="G31" s="367"/>
      <c r="H31" s="368"/>
      <c r="I31" s="368"/>
      <c r="J31" s="368"/>
      <c r="K31" s="369">
        <f>IF(ISERROR('[1]日数 (1)'!D718),0,'[1]日数 (1)'!D718)</f>
        <v>3.5</v>
      </c>
      <c r="L31" s="369"/>
      <c r="M31" s="372">
        <v>1</v>
      </c>
      <c r="N31" s="372"/>
      <c r="O31" s="369">
        <f>ROUND('[1]日数表 (1)'!K31 / '[1]日数表 (1)'!M31,1)</f>
        <v>3.5</v>
      </c>
      <c r="P31" s="369"/>
      <c r="Q31" s="373"/>
      <c r="R31" s="373"/>
      <c r="S31" s="369">
        <f>'[1]基本 (1)'!L96</f>
        <v>3.5</v>
      </c>
      <c r="T31" s="373"/>
      <c r="U31" s="369">
        <f>'[1]基本 (1)'!L96</f>
        <v>3.5</v>
      </c>
      <c r="V31" s="373"/>
      <c r="W31" s="369">
        <f>'[1]基本 (1)'!L96</f>
        <v>3.5</v>
      </c>
      <c r="X31" s="373"/>
      <c r="Y31" s="369">
        <f>'[1]基本 (1)'!L96</f>
        <v>3.5</v>
      </c>
      <c r="Z31" s="373"/>
      <c r="AA31" s="373"/>
      <c r="AB31" s="373"/>
      <c r="AC31" s="373"/>
      <c r="AD31" s="373"/>
      <c r="AE31" s="373"/>
      <c r="AF31" s="373"/>
      <c r="AG31" s="373"/>
      <c r="AH31" s="373"/>
      <c r="AI31" s="373"/>
      <c r="AJ31" s="373"/>
      <c r="AK31" s="373"/>
      <c r="AL31" s="373"/>
      <c r="AM31" s="373"/>
      <c r="AN31" s="373"/>
      <c r="AO31" s="373"/>
      <c r="AP31" s="373"/>
      <c r="AQ31" s="373"/>
      <c r="AR31" s="373"/>
      <c r="AS31" s="373"/>
      <c r="AT31" s="373"/>
      <c r="AU31" s="373"/>
      <c r="AV31" s="373"/>
      <c r="AW31" s="369">
        <f>'[1]基本 (1)'!L96</f>
        <v>3.5</v>
      </c>
      <c r="AX31" s="373"/>
      <c r="AY31" s="373"/>
      <c r="AZ31" s="373"/>
      <c r="BA31" s="373"/>
      <c r="BB31" s="373"/>
      <c r="BC31" s="369">
        <f>'[1]基本 (1)'!L96</f>
        <v>3.5</v>
      </c>
      <c r="BD31" s="373"/>
      <c r="BE31" s="369">
        <f>'[1]基本 (1)'!L96</f>
        <v>3.5</v>
      </c>
      <c r="BF31" s="373"/>
      <c r="BG31" s="369">
        <f>'[1]基本 (1)'!L96</f>
        <v>3.5</v>
      </c>
      <c r="BH31" s="373"/>
      <c r="BI31" s="369">
        <f>'[1]基本 (1)'!L96</f>
        <v>3.5</v>
      </c>
      <c r="BJ31" s="373"/>
      <c r="BK31" s="373"/>
      <c r="BL31" s="373"/>
      <c r="BM31" s="373"/>
      <c r="BN31" s="373"/>
      <c r="BO31" s="373"/>
      <c r="BP31" s="373"/>
    </row>
    <row r="32" spans="2:68" ht="14.25" customHeight="1">
      <c r="B32" s="367" t="s">
        <v>913</v>
      </c>
      <c r="C32" s="367"/>
      <c r="D32" s="367"/>
      <c r="E32" s="367"/>
      <c r="F32" s="367"/>
      <c r="G32" s="367"/>
      <c r="H32" s="368"/>
      <c r="I32" s="368"/>
      <c r="J32" s="368"/>
      <c r="K32" s="369">
        <f>IF(ISERROR('[1]日数 (1)'!D737),0,'[1]日数 (1)'!D737)</f>
        <v>12.7</v>
      </c>
      <c r="L32" s="369"/>
      <c r="M32" s="372">
        <v>1</v>
      </c>
      <c r="N32" s="372"/>
      <c r="O32" s="369">
        <f>ROUND('[1]日数表 (1)'!K32 / '[1]日数表 (1)'!M32,1)</f>
        <v>12.7</v>
      </c>
      <c r="P32" s="369"/>
      <c r="Q32" s="373"/>
      <c r="R32" s="373"/>
      <c r="S32" s="369">
        <f>'[1]基本 (1)'!L97</f>
        <v>12.7</v>
      </c>
      <c r="T32" s="373"/>
      <c r="U32" s="369">
        <f>'[1]基本 (1)'!L97</f>
        <v>12.7</v>
      </c>
      <c r="V32" s="373"/>
      <c r="W32" s="369">
        <f>'[1]基本 (1)'!L97</f>
        <v>12.7</v>
      </c>
      <c r="X32" s="373"/>
      <c r="Y32" s="369">
        <f>'[1]基本 (1)'!L97</f>
        <v>12.7</v>
      </c>
      <c r="Z32" s="373"/>
      <c r="AA32" s="369">
        <f>'[1]基本 (1)'!L97</f>
        <v>12.7</v>
      </c>
      <c r="AB32" s="373"/>
      <c r="AC32" s="369">
        <f>'[1]基本 (1)'!L97</f>
        <v>12.7</v>
      </c>
      <c r="AD32" s="373"/>
      <c r="AE32" s="369">
        <f>'[1]基本 (1)'!L97*((('[1]基本 (1)'!D7-(2- 1)) /('[1]基本 (1)'!D7)))</f>
        <v>8.466666666666665</v>
      </c>
      <c r="AF32" s="373"/>
      <c r="AG32" s="369">
        <f>'[1]基本 (1)'!L97*((('[1]基本 (1)'!D7-(3- 1)) /('[1]基本 (1)'!D7)))</f>
        <v>4.2333333333333325</v>
      </c>
      <c r="AH32" s="373"/>
      <c r="AI32" s="373"/>
      <c r="AJ32" s="373"/>
      <c r="AK32" s="373"/>
      <c r="AL32" s="373"/>
      <c r="AM32" s="373"/>
      <c r="AN32" s="373"/>
      <c r="AO32" s="373"/>
      <c r="AP32" s="373"/>
      <c r="AQ32" s="373"/>
      <c r="AR32" s="373"/>
      <c r="AS32" s="373"/>
      <c r="AT32" s="373"/>
      <c r="AU32" s="373"/>
      <c r="AV32" s="373"/>
      <c r="AW32" s="369">
        <f>'[1]基本 (1)'!L97</f>
        <v>12.7</v>
      </c>
      <c r="AX32" s="373"/>
      <c r="AY32" s="373"/>
      <c r="AZ32" s="373"/>
      <c r="BA32" s="369">
        <f>'[1]基本 (1)'!L97</f>
        <v>12.7</v>
      </c>
      <c r="BB32" s="373"/>
      <c r="BC32" s="369">
        <f>'[1]基本 (1)'!L97</f>
        <v>12.7</v>
      </c>
      <c r="BD32" s="373"/>
      <c r="BE32" s="369">
        <f>'[1]基本 (1)'!L97</f>
        <v>12.7</v>
      </c>
      <c r="BF32" s="373"/>
      <c r="BG32" s="369">
        <f>'[1]基本 (1)'!L97</f>
        <v>12.7</v>
      </c>
      <c r="BH32" s="373"/>
      <c r="BI32" s="369">
        <f>'[1]基本 (1)'!L97</f>
        <v>12.7</v>
      </c>
      <c r="BJ32" s="373"/>
      <c r="BK32" s="373"/>
      <c r="BL32" s="373"/>
      <c r="BM32" s="369">
        <f>'[1]基本 (1)'!L97</f>
        <v>12.7</v>
      </c>
      <c r="BN32" s="373"/>
      <c r="BO32" s="369">
        <f>'[1]基本 (1)'!L97</f>
        <v>12.7</v>
      </c>
      <c r="BP32" s="373"/>
    </row>
    <row r="33" spans="2:68" ht="14.25" customHeight="1">
      <c r="B33" s="367" t="s">
        <v>914</v>
      </c>
      <c r="C33" s="367"/>
      <c r="D33" s="367"/>
      <c r="E33" s="367"/>
      <c r="F33" s="367"/>
      <c r="G33" s="367"/>
      <c r="H33" s="368"/>
      <c r="I33" s="368"/>
      <c r="J33" s="368"/>
      <c r="K33" s="369">
        <f>IF(ISERROR('[1]日数 (1)'!D752),0,'[1]日数 (1)'!D752)</f>
        <v>1</v>
      </c>
      <c r="L33" s="369"/>
      <c r="M33" s="372">
        <v>1</v>
      </c>
      <c r="N33" s="372"/>
      <c r="O33" s="369">
        <f>ROUND('[1]日数表 (1)'!K33 / '[1]日数表 (1)'!M33,1)</f>
        <v>1</v>
      </c>
      <c r="P33" s="369"/>
      <c r="Q33" s="373"/>
      <c r="R33" s="373"/>
      <c r="S33" s="373"/>
      <c r="T33" s="373"/>
      <c r="U33" s="373"/>
      <c r="V33" s="373"/>
      <c r="W33" s="373"/>
      <c r="X33" s="373"/>
      <c r="Y33" s="373"/>
      <c r="Z33" s="373"/>
      <c r="AA33" s="373"/>
      <c r="AB33" s="373"/>
      <c r="AC33" s="373"/>
      <c r="AD33" s="373"/>
      <c r="AE33" s="373"/>
      <c r="AF33" s="373"/>
      <c r="AG33" s="373"/>
      <c r="AH33" s="373"/>
      <c r="AI33" s="373"/>
      <c r="AJ33" s="373"/>
      <c r="AK33" s="373"/>
      <c r="AL33" s="373"/>
      <c r="AM33" s="373"/>
      <c r="AN33" s="373"/>
      <c r="AO33" s="373"/>
      <c r="AP33" s="373"/>
      <c r="AQ33" s="373"/>
      <c r="AR33" s="373"/>
      <c r="AS33" s="373"/>
      <c r="AT33" s="373"/>
      <c r="AU33" s="373"/>
      <c r="AV33" s="373"/>
      <c r="AW33" s="373"/>
      <c r="AX33" s="373"/>
      <c r="AY33" s="373"/>
      <c r="AZ33" s="373"/>
      <c r="BA33" s="373"/>
      <c r="BB33" s="373"/>
      <c r="BC33" s="373"/>
      <c r="BD33" s="373"/>
      <c r="BE33" s="369">
        <f>'[1]基本 (1)'!L98</f>
        <v>1</v>
      </c>
      <c r="BF33" s="373"/>
      <c r="BG33" s="369">
        <f>'[1]基本 (1)'!L98</f>
        <v>1</v>
      </c>
      <c r="BH33" s="373"/>
      <c r="BI33" s="369">
        <f>'[1]基本 (1)'!L98</f>
        <v>1</v>
      </c>
      <c r="BJ33" s="373"/>
      <c r="BK33" s="373"/>
      <c r="BL33" s="373"/>
      <c r="BM33" s="373"/>
      <c r="BN33" s="373"/>
      <c r="BO33" s="373"/>
      <c r="BP33" s="373"/>
    </row>
    <row r="34" spans="2:68" ht="14.25" customHeight="1">
      <c r="B34" s="367" t="s">
        <v>915</v>
      </c>
      <c r="C34" s="367"/>
      <c r="D34" s="367"/>
      <c r="E34" s="367"/>
      <c r="F34" s="367"/>
      <c r="G34" s="367"/>
      <c r="H34" s="368"/>
      <c r="I34" s="368"/>
      <c r="J34" s="368"/>
      <c r="K34" s="369">
        <f>SUM(K35,K40,K41)</f>
        <v>61.3</v>
      </c>
      <c r="L34" s="369"/>
      <c r="M34" s="370"/>
      <c r="N34" s="370"/>
      <c r="O34" s="369">
        <f>SUM(O35,O40,O41)</f>
        <v>61.3</v>
      </c>
      <c r="P34" s="369"/>
      <c r="Q34" s="371"/>
      <c r="R34" s="371"/>
      <c r="S34" s="371"/>
      <c r="T34" s="371"/>
      <c r="U34" s="371"/>
      <c r="V34" s="371"/>
      <c r="W34" s="371"/>
      <c r="X34" s="371"/>
      <c r="Y34" s="371"/>
      <c r="Z34" s="371"/>
      <c r="AA34" s="371"/>
      <c r="AB34" s="371"/>
      <c r="AC34" s="371"/>
      <c r="AD34" s="371"/>
      <c r="AE34" s="371"/>
      <c r="AF34" s="371"/>
      <c r="AG34" s="371"/>
      <c r="AH34" s="371"/>
      <c r="AI34" s="371"/>
      <c r="AJ34" s="371"/>
      <c r="AK34" s="371"/>
      <c r="AL34" s="371"/>
      <c r="AM34" s="371"/>
      <c r="AN34" s="371"/>
      <c r="AO34" s="371"/>
      <c r="AP34" s="371"/>
      <c r="AQ34" s="371"/>
      <c r="AR34" s="371"/>
      <c r="AS34" s="371"/>
      <c r="AT34" s="371"/>
      <c r="AU34" s="371"/>
      <c r="AV34" s="371"/>
      <c r="AW34" s="371"/>
      <c r="AX34" s="371"/>
      <c r="AY34" s="371"/>
      <c r="AZ34" s="371"/>
      <c r="BA34" s="371"/>
      <c r="BB34" s="371"/>
      <c r="BC34" s="371"/>
      <c r="BD34" s="371"/>
      <c r="BE34" s="371"/>
      <c r="BF34" s="371"/>
      <c r="BG34" s="371"/>
      <c r="BH34" s="371"/>
      <c r="BI34" s="369">
        <f>'[1]基本 (1)'!L99</f>
        <v>61.3</v>
      </c>
      <c r="BJ34" s="371"/>
      <c r="BK34" s="371"/>
      <c r="BL34" s="371"/>
      <c r="BM34" s="371"/>
      <c r="BN34" s="371"/>
      <c r="BO34" s="371"/>
      <c r="BP34" s="371"/>
    </row>
    <row r="35" spans="2:68" ht="14.25" customHeight="1">
      <c r="B35" s="367"/>
      <c r="C35" s="367"/>
      <c r="D35" s="367"/>
      <c r="E35" s="367"/>
      <c r="F35" s="367"/>
      <c r="G35" s="367"/>
      <c r="H35" s="368" t="s">
        <v>916</v>
      </c>
      <c r="I35" s="368"/>
      <c r="J35" s="368"/>
      <c r="K35" s="369">
        <f>IF(ISERROR('[1]日数 (1)'!E789),0,'[1]日数 (1)'!E789)</f>
        <v>61.3</v>
      </c>
      <c r="L35" s="369"/>
      <c r="M35" s="372">
        <v>1</v>
      </c>
      <c r="N35" s="372"/>
      <c r="O35" s="369">
        <f>ROUND('[1]日数表 (1)'!K35 / '[1]日数表 (1)'!M35,1)</f>
        <v>61.3</v>
      </c>
      <c r="P35" s="369"/>
      <c r="Q35" s="373"/>
      <c r="R35" s="373"/>
      <c r="S35" s="373"/>
      <c r="T35" s="373"/>
      <c r="U35" s="373"/>
      <c r="V35" s="373"/>
      <c r="W35" s="373"/>
      <c r="X35" s="373"/>
      <c r="Y35" s="373"/>
      <c r="Z35" s="373"/>
      <c r="AA35" s="373"/>
      <c r="AB35" s="373"/>
      <c r="AC35" s="373"/>
      <c r="AD35" s="373"/>
      <c r="AE35" s="373"/>
      <c r="AF35" s="373"/>
      <c r="AG35" s="373"/>
      <c r="AH35" s="373"/>
      <c r="AI35" s="373"/>
      <c r="AJ35" s="373"/>
      <c r="AK35" s="373"/>
      <c r="AL35" s="373"/>
      <c r="AM35" s="373"/>
      <c r="AN35" s="373"/>
      <c r="AO35" s="373"/>
      <c r="AP35" s="373"/>
      <c r="AQ35" s="373"/>
      <c r="AR35" s="373"/>
      <c r="AS35" s="373"/>
      <c r="AT35" s="373"/>
      <c r="AU35" s="373"/>
      <c r="AV35" s="373"/>
      <c r="AW35" s="373"/>
      <c r="AX35" s="373"/>
      <c r="AY35" s="373"/>
      <c r="AZ35" s="373"/>
      <c r="BA35" s="373"/>
      <c r="BB35" s="373"/>
      <c r="BC35" s="373"/>
      <c r="BD35" s="373"/>
      <c r="BE35" s="369">
        <f>'[1]基本 (1)'!N100</f>
        <v>61.3</v>
      </c>
      <c r="BF35" s="373"/>
      <c r="BG35" s="373"/>
      <c r="BH35" s="373"/>
      <c r="BI35" s="373"/>
      <c r="BJ35" s="373"/>
      <c r="BK35" s="373"/>
      <c r="BL35" s="373"/>
      <c r="BM35" s="373"/>
      <c r="BN35" s="373"/>
      <c r="BO35" s="373"/>
      <c r="BP35" s="373"/>
    </row>
    <row r="36" spans="2:68" ht="14.25" customHeight="1">
      <c r="B36" s="367"/>
      <c r="C36" s="367"/>
      <c r="D36" s="367"/>
      <c r="E36" s="367"/>
      <c r="F36" s="367"/>
      <c r="G36" s="367"/>
      <c r="H36" s="384" t="s">
        <v>882</v>
      </c>
      <c r="I36" s="385"/>
      <c r="J36" s="386"/>
      <c r="K36" s="369">
        <f>IF(ISERROR('[1]日数 (1)'!Q773),0,'[1]日数 (1)'!Q773)</f>
        <v>42.7</v>
      </c>
      <c r="L36" s="369"/>
      <c r="M36" s="370"/>
      <c r="N36" s="370"/>
      <c r="O36" s="369">
        <f>ROUND('[1]日数表 (1)'!K36 / '[1]日数表 (1)'!M35,1)</f>
        <v>42.7</v>
      </c>
      <c r="P36" s="369"/>
      <c r="Q36" s="373"/>
      <c r="R36" s="373"/>
      <c r="S36" s="373"/>
      <c r="T36" s="373"/>
      <c r="U36" s="373"/>
      <c r="V36" s="373"/>
      <c r="W36" s="373"/>
      <c r="X36" s="373"/>
      <c r="Y36" s="373"/>
      <c r="Z36" s="373"/>
      <c r="AA36" s="373"/>
      <c r="AB36" s="373"/>
      <c r="AC36" s="373"/>
      <c r="AD36" s="373"/>
      <c r="AE36" s="373"/>
      <c r="AF36" s="373"/>
      <c r="AG36" s="373"/>
      <c r="AH36" s="373"/>
      <c r="AI36" s="373"/>
      <c r="AJ36" s="373"/>
      <c r="AK36" s="373"/>
      <c r="AL36" s="373"/>
      <c r="AM36" s="373"/>
      <c r="AN36" s="373"/>
      <c r="AO36" s="373"/>
      <c r="AP36" s="373"/>
      <c r="AQ36" s="373"/>
      <c r="AR36" s="373"/>
      <c r="AS36" s="373"/>
      <c r="AT36" s="373"/>
      <c r="AU36" s="373"/>
      <c r="AV36" s="373"/>
      <c r="AW36" s="373"/>
      <c r="AX36" s="373"/>
      <c r="AY36" s="373"/>
      <c r="AZ36" s="373"/>
      <c r="BA36" s="373"/>
      <c r="BB36" s="373"/>
      <c r="BC36" s="373"/>
      <c r="BD36" s="373"/>
      <c r="BE36" s="373"/>
      <c r="BF36" s="373"/>
      <c r="BG36" s="373"/>
      <c r="BH36" s="373"/>
      <c r="BI36" s="373"/>
      <c r="BJ36" s="373"/>
      <c r="BK36" s="373"/>
      <c r="BL36" s="373"/>
      <c r="BM36" s="373"/>
      <c r="BN36" s="373"/>
      <c r="BO36" s="373"/>
      <c r="BP36" s="373"/>
    </row>
    <row r="37" spans="2:68" ht="14.25" customHeight="1">
      <c r="B37" s="367"/>
      <c r="C37" s="367"/>
      <c r="D37" s="367"/>
      <c r="E37" s="367"/>
      <c r="F37" s="367"/>
      <c r="G37" s="367"/>
      <c r="H37" s="384" t="s">
        <v>917</v>
      </c>
      <c r="I37" s="385"/>
      <c r="J37" s="386"/>
      <c r="K37" s="369">
        <f>IF(ISERROR('[1]日数 (1)'!Q777),0,'[1]日数 (1)'!Q777)</f>
        <v>9.5</v>
      </c>
      <c r="L37" s="369"/>
      <c r="M37" s="370"/>
      <c r="N37" s="370"/>
      <c r="O37" s="369">
        <f>ROUND('[1]日数表 (1)'!K37 / '[1]日数表 (1)'!M35,1)</f>
        <v>9.5</v>
      </c>
      <c r="P37" s="369"/>
      <c r="Q37" s="373"/>
      <c r="R37" s="373"/>
      <c r="S37" s="373"/>
      <c r="T37" s="373"/>
      <c r="U37" s="373"/>
      <c r="V37" s="373"/>
      <c r="W37" s="373"/>
      <c r="X37" s="373"/>
      <c r="Y37" s="373"/>
      <c r="Z37" s="373"/>
      <c r="AA37" s="373"/>
      <c r="AB37" s="373"/>
      <c r="AC37" s="373"/>
      <c r="AD37" s="373"/>
      <c r="AE37" s="373"/>
      <c r="AF37" s="373"/>
      <c r="AG37" s="373"/>
      <c r="AH37" s="373"/>
      <c r="AI37" s="373"/>
      <c r="AJ37" s="373"/>
      <c r="AK37" s="373"/>
      <c r="AL37" s="373"/>
      <c r="AM37" s="373"/>
      <c r="AN37" s="373"/>
      <c r="AO37" s="373"/>
      <c r="AP37" s="373"/>
      <c r="AQ37" s="373"/>
      <c r="AR37" s="373"/>
      <c r="AS37" s="373"/>
      <c r="AT37" s="373"/>
      <c r="AU37" s="373"/>
      <c r="AV37" s="373"/>
      <c r="AW37" s="373"/>
      <c r="AX37" s="373"/>
      <c r="AY37" s="373"/>
      <c r="AZ37" s="373"/>
      <c r="BA37" s="373"/>
      <c r="BB37" s="373"/>
      <c r="BC37" s="373"/>
      <c r="BD37" s="373"/>
      <c r="BE37" s="373"/>
      <c r="BF37" s="373"/>
      <c r="BG37" s="369">
        <f>'[1]日数 (1)'!Q777</f>
        <v>9.5</v>
      </c>
      <c r="BH37" s="373"/>
      <c r="BI37" s="373"/>
      <c r="BJ37" s="373"/>
      <c r="BK37" s="373"/>
      <c r="BL37" s="373"/>
      <c r="BM37" s="373"/>
      <c r="BN37" s="373"/>
      <c r="BO37" s="373"/>
      <c r="BP37" s="373"/>
    </row>
    <row r="38" spans="2:68" ht="14.25" customHeight="1">
      <c r="B38" s="367"/>
      <c r="C38" s="367"/>
      <c r="D38" s="367"/>
      <c r="E38" s="367"/>
      <c r="F38" s="367"/>
      <c r="G38" s="367"/>
      <c r="H38" s="384" t="s">
        <v>918</v>
      </c>
      <c r="I38" s="385"/>
      <c r="J38" s="386"/>
      <c r="K38" s="369">
        <f>IF(ISERROR('[1]日数 (1)'!Q781),0,'[1]日数 (1)'!Q781)</f>
        <v>5.9</v>
      </c>
      <c r="L38" s="369"/>
      <c r="M38" s="370"/>
      <c r="N38" s="370"/>
      <c r="O38" s="369">
        <f>ROUND('[1]日数表 (1)'!K38 / '[1]日数表 (1)'!M35,1)</f>
        <v>5.9</v>
      </c>
      <c r="P38" s="369"/>
      <c r="Q38" s="373"/>
      <c r="R38" s="373"/>
      <c r="S38" s="373"/>
      <c r="T38" s="373"/>
      <c r="U38" s="373"/>
      <c r="V38" s="373"/>
      <c r="W38" s="373"/>
      <c r="X38" s="373"/>
      <c r="Y38" s="373"/>
      <c r="Z38" s="373"/>
      <c r="AA38" s="373"/>
      <c r="AB38" s="373"/>
      <c r="AC38" s="373"/>
      <c r="AD38" s="373"/>
      <c r="AE38" s="373"/>
      <c r="AF38" s="373"/>
      <c r="AG38" s="373"/>
      <c r="AH38" s="373"/>
      <c r="AI38" s="373"/>
      <c r="AJ38" s="373"/>
      <c r="AK38" s="373"/>
      <c r="AL38" s="373"/>
      <c r="AM38" s="373"/>
      <c r="AN38" s="373"/>
      <c r="AO38" s="373"/>
      <c r="AP38" s="373"/>
      <c r="AQ38" s="373"/>
      <c r="AR38" s="373"/>
      <c r="AS38" s="373"/>
      <c r="AT38" s="373"/>
      <c r="AU38" s="373"/>
      <c r="AV38" s="373"/>
      <c r="AW38" s="373"/>
      <c r="AX38" s="373"/>
      <c r="AY38" s="373"/>
      <c r="AZ38" s="373"/>
      <c r="BA38" s="373"/>
      <c r="BB38" s="373"/>
      <c r="BC38" s="373"/>
      <c r="BD38" s="373"/>
      <c r="BE38" s="373"/>
      <c r="BF38" s="373"/>
      <c r="BG38" s="369">
        <f>'[1]日数 (1)'!Q781</f>
        <v>5.9</v>
      </c>
      <c r="BH38" s="373"/>
      <c r="BI38" s="373"/>
      <c r="BJ38" s="373"/>
      <c r="BK38" s="373"/>
      <c r="BL38" s="373"/>
      <c r="BM38" s="373"/>
      <c r="BN38" s="373"/>
      <c r="BO38" s="373"/>
      <c r="BP38" s="373"/>
    </row>
    <row r="39" spans="2:68" ht="14.25" customHeight="1">
      <c r="B39" s="367"/>
      <c r="C39" s="367"/>
      <c r="D39" s="367"/>
      <c r="E39" s="367"/>
      <c r="F39" s="367"/>
      <c r="G39" s="367"/>
      <c r="H39" s="384" t="s">
        <v>919</v>
      </c>
      <c r="I39" s="385"/>
      <c r="J39" s="386"/>
      <c r="K39" s="369">
        <f>IF(ISERROR('[1]日数 (1)'!Q785),0,'[1]日数 (1)'!Q785)</f>
        <v>3.2</v>
      </c>
      <c r="L39" s="369"/>
      <c r="M39" s="370"/>
      <c r="N39" s="370"/>
      <c r="O39" s="369">
        <f>ROUND('[1]日数表 (1)'!K39 / '[1]日数表 (1)'!M35,1)</f>
        <v>3.2</v>
      </c>
      <c r="P39" s="369"/>
      <c r="Q39" s="373"/>
      <c r="R39" s="373"/>
      <c r="S39" s="373"/>
      <c r="T39" s="373"/>
      <c r="U39" s="373"/>
      <c r="V39" s="373"/>
      <c r="W39" s="373"/>
      <c r="X39" s="373"/>
      <c r="Y39" s="373"/>
      <c r="Z39" s="373"/>
      <c r="AA39" s="373"/>
      <c r="AB39" s="373"/>
      <c r="AC39" s="373"/>
      <c r="AD39" s="373"/>
      <c r="AE39" s="373"/>
      <c r="AF39" s="373"/>
      <c r="AG39" s="373"/>
      <c r="AH39" s="373"/>
      <c r="AI39" s="373"/>
      <c r="AJ39" s="373"/>
      <c r="AK39" s="373"/>
      <c r="AL39" s="373"/>
      <c r="AM39" s="373"/>
      <c r="AN39" s="373"/>
      <c r="AO39" s="373"/>
      <c r="AP39" s="373"/>
      <c r="AQ39" s="373"/>
      <c r="AR39" s="373"/>
      <c r="AS39" s="373"/>
      <c r="AT39" s="373"/>
      <c r="AU39" s="373"/>
      <c r="AV39" s="373"/>
      <c r="AW39" s="373"/>
      <c r="AX39" s="373"/>
      <c r="AY39" s="373"/>
      <c r="AZ39" s="373"/>
      <c r="BA39" s="373"/>
      <c r="BB39" s="373"/>
      <c r="BC39" s="373"/>
      <c r="BD39" s="373"/>
      <c r="BE39" s="373"/>
      <c r="BF39" s="373"/>
      <c r="BG39" s="369">
        <f>'[1]日数 (1)'!O785</f>
        <v>0</v>
      </c>
      <c r="BH39" s="373"/>
      <c r="BI39" s="373"/>
      <c r="BJ39" s="373"/>
      <c r="BK39" s="373"/>
      <c r="BL39" s="373"/>
      <c r="BM39" s="373"/>
      <c r="BN39" s="373"/>
      <c r="BO39" s="373"/>
      <c r="BP39" s="373"/>
    </row>
    <row r="40" spans="2:68" ht="14.25" hidden="1" customHeight="1">
      <c r="B40" s="367"/>
      <c r="C40" s="367"/>
      <c r="D40" s="367"/>
      <c r="E40" s="367"/>
      <c r="F40" s="367"/>
      <c r="G40" s="367"/>
      <c r="H40" s="384" t="s">
        <v>920</v>
      </c>
      <c r="I40" s="385"/>
      <c r="J40" s="386"/>
      <c r="K40" s="369"/>
      <c r="L40" s="369"/>
      <c r="M40" s="372"/>
      <c r="N40" s="372"/>
      <c r="O40" s="369">
        <v>0</v>
      </c>
      <c r="P40" s="369"/>
      <c r="Q40" s="373"/>
      <c r="R40" s="373"/>
      <c r="S40" s="373"/>
      <c r="T40" s="373"/>
      <c r="U40" s="373"/>
      <c r="V40" s="373"/>
      <c r="W40" s="373"/>
      <c r="X40" s="373"/>
      <c r="Y40" s="373"/>
      <c r="Z40" s="373"/>
      <c r="AA40" s="373"/>
      <c r="AB40" s="373"/>
      <c r="AC40" s="373"/>
      <c r="AD40" s="373"/>
      <c r="AE40" s="373"/>
      <c r="AF40" s="373"/>
      <c r="AG40" s="373"/>
      <c r="AH40" s="373"/>
      <c r="AI40" s="373"/>
      <c r="AJ40" s="373"/>
      <c r="AK40" s="373"/>
      <c r="AL40" s="373"/>
      <c r="AM40" s="373"/>
      <c r="AN40" s="373"/>
      <c r="AO40" s="373"/>
      <c r="AP40" s="373"/>
      <c r="AQ40" s="373"/>
      <c r="AR40" s="373"/>
      <c r="AS40" s="373"/>
      <c r="AT40" s="373"/>
      <c r="AU40" s="373"/>
      <c r="AV40" s="373"/>
      <c r="AW40" s="373"/>
      <c r="AX40" s="373"/>
      <c r="AY40" s="373"/>
      <c r="AZ40" s="373"/>
      <c r="BA40" s="373"/>
      <c r="BB40" s="373"/>
      <c r="BC40" s="373"/>
      <c r="BD40" s="373"/>
      <c r="BE40" s="373"/>
      <c r="BF40" s="373"/>
      <c r="BG40" s="373"/>
      <c r="BH40" s="373"/>
      <c r="BI40" s="373"/>
      <c r="BJ40" s="373"/>
      <c r="BK40" s="373"/>
      <c r="BL40" s="373"/>
      <c r="BM40" s="373"/>
      <c r="BN40" s="373"/>
      <c r="BO40" s="373"/>
      <c r="BP40" s="373"/>
    </row>
    <row r="41" spans="2:68" ht="14.25" hidden="1" customHeight="1">
      <c r="B41" s="367"/>
      <c r="C41" s="367"/>
      <c r="D41" s="367"/>
      <c r="E41" s="367"/>
      <c r="F41" s="367"/>
      <c r="G41" s="367"/>
      <c r="H41" s="368" t="s">
        <v>921</v>
      </c>
      <c r="I41" s="368"/>
      <c r="J41" s="368"/>
      <c r="K41" s="369"/>
      <c r="L41" s="369"/>
      <c r="M41" s="372"/>
      <c r="N41" s="372"/>
      <c r="O41" s="369">
        <v>0</v>
      </c>
      <c r="P41" s="369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3"/>
      <c r="AJ41" s="373"/>
      <c r="AK41" s="373"/>
      <c r="AL41" s="373"/>
      <c r="AM41" s="373"/>
      <c r="AN41" s="373"/>
      <c r="AO41" s="373"/>
      <c r="AP41" s="373"/>
      <c r="AQ41" s="373"/>
      <c r="AR41" s="373"/>
      <c r="AS41" s="373"/>
      <c r="AT41" s="373"/>
      <c r="AU41" s="373"/>
      <c r="AV41" s="373"/>
      <c r="AW41" s="373"/>
      <c r="AX41" s="373"/>
      <c r="AY41" s="373"/>
      <c r="AZ41" s="373"/>
      <c r="BA41" s="373"/>
      <c r="BB41" s="373"/>
      <c r="BC41" s="373"/>
      <c r="BD41" s="373"/>
      <c r="BE41" s="373"/>
      <c r="BF41" s="373"/>
      <c r="BG41" s="373"/>
      <c r="BH41" s="373"/>
      <c r="BI41" s="373"/>
      <c r="BJ41" s="373"/>
      <c r="BK41" s="373"/>
      <c r="BL41" s="373"/>
      <c r="BM41" s="373"/>
      <c r="BN41" s="373"/>
      <c r="BO41" s="373"/>
      <c r="BP41" s="373"/>
    </row>
    <row r="42" spans="2:68" ht="14.25" hidden="1" customHeight="1">
      <c r="B42" s="367" t="s">
        <v>922</v>
      </c>
      <c r="C42" s="367"/>
      <c r="D42" s="367"/>
      <c r="E42" s="367"/>
      <c r="F42" s="367"/>
      <c r="G42" s="367"/>
      <c r="H42" s="368"/>
      <c r="I42" s="368"/>
      <c r="J42" s="368"/>
      <c r="K42" s="369"/>
      <c r="L42" s="369"/>
      <c r="M42" s="372"/>
      <c r="N42" s="372"/>
      <c r="O42" s="369">
        <v>0</v>
      </c>
      <c r="P42" s="369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3"/>
      <c r="AD42" s="373"/>
      <c r="AE42" s="373"/>
      <c r="AF42" s="373"/>
      <c r="AG42" s="373"/>
      <c r="AH42" s="373"/>
      <c r="AI42" s="373"/>
      <c r="AJ42" s="373"/>
      <c r="AK42" s="373"/>
      <c r="AL42" s="373"/>
      <c r="AM42" s="373"/>
      <c r="AN42" s="373"/>
      <c r="AO42" s="373"/>
      <c r="AP42" s="373"/>
      <c r="AQ42" s="373"/>
      <c r="AR42" s="373"/>
      <c r="AS42" s="373"/>
      <c r="AT42" s="373"/>
      <c r="AU42" s="373"/>
      <c r="AV42" s="373"/>
      <c r="AW42" s="373"/>
      <c r="AX42" s="373"/>
      <c r="AY42" s="373"/>
      <c r="AZ42" s="373"/>
      <c r="BA42" s="373"/>
      <c r="BB42" s="373"/>
      <c r="BC42" s="373"/>
      <c r="BD42" s="373"/>
      <c r="BE42" s="373"/>
      <c r="BF42" s="373"/>
      <c r="BG42" s="373"/>
      <c r="BH42" s="373"/>
      <c r="BI42" s="373"/>
      <c r="BJ42" s="373"/>
      <c r="BK42" s="373"/>
      <c r="BL42" s="373"/>
      <c r="BM42" s="373"/>
      <c r="BN42" s="373"/>
      <c r="BO42" s="373"/>
      <c r="BP42" s="373"/>
    </row>
    <row r="43" spans="2:68" ht="14.25" customHeight="1">
      <c r="B43" s="367" t="s">
        <v>923</v>
      </c>
      <c r="C43" s="367"/>
      <c r="D43" s="367"/>
      <c r="E43" s="367"/>
      <c r="F43" s="367"/>
      <c r="G43" s="367"/>
      <c r="H43" s="368"/>
      <c r="I43" s="368"/>
      <c r="J43" s="368"/>
      <c r="K43" s="369">
        <f>IF(ISERROR('[1]日数 (1)'!H874),0,'[1]日数 (1)'!H874)</f>
        <v>1.8</v>
      </c>
      <c r="L43" s="369"/>
      <c r="M43" s="372">
        <v>2</v>
      </c>
      <c r="N43" s="372"/>
      <c r="O43" s="369">
        <f>ROUND('[1]日数表 (1)'!K43 / '[1]日数表 (1)'!M43,1)</f>
        <v>0.9</v>
      </c>
      <c r="P43" s="369"/>
      <c r="Q43" s="373"/>
      <c r="R43" s="373"/>
      <c r="S43" s="369">
        <f>'[1]基本 (1)'!L104</f>
        <v>0.9</v>
      </c>
      <c r="T43" s="373"/>
      <c r="U43" s="369">
        <f>'[1]基本 (1)'!L104</f>
        <v>0.9</v>
      </c>
      <c r="V43" s="373"/>
      <c r="W43" s="369">
        <f>'[1]基本 (1)'!L104</f>
        <v>0.9</v>
      </c>
      <c r="X43" s="373"/>
      <c r="Y43" s="369">
        <f>'[1]基本 (1)'!L104</f>
        <v>0.9</v>
      </c>
      <c r="Z43" s="373"/>
      <c r="AA43" s="369">
        <f>'[1]基本 (1)'!L104</f>
        <v>0.9</v>
      </c>
      <c r="AB43" s="373"/>
      <c r="AC43" s="369">
        <f>'[1]基本 (1)'!L104</f>
        <v>0.9</v>
      </c>
      <c r="AD43" s="373"/>
      <c r="AE43" s="369">
        <f>'[1]基本 (1)'!L104</f>
        <v>0.9</v>
      </c>
      <c r="AF43" s="373"/>
      <c r="AG43" s="369">
        <f>'[1]基本 (1)'!L104</f>
        <v>0.9</v>
      </c>
      <c r="AH43" s="373"/>
      <c r="AI43" s="373"/>
      <c r="AJ43" s="373"/>
      <c r="AK43" s="373"/>
      <c r="AL43" s="373"/>
      <c r="AM43" s="373"/>
      <c r="AN43" s="373"/>
      <c r="AO43" s="373"/>
      <c r="AP43" s="373"/>
      <c r="AQ43" s="373"/>
      <c r="AR43" s="373"/>
      <c r="AS43" s="373"/>
      <c r="AT43" s="373"/>
      <c r="AU43" s="373"/>
      <c r="AV43" s="373"/>
      <c r="AW43" s="369">
        <f>'[1]基本 (1)'!L104</f>
        <v>0.9</v>
      </c>
      <c r="AX43" s="373"/>
      <c r="AY43" s="373"/>
      <c r="AZ43" s="373"/>
      <c r="BA43" s="369">
        <f>'[1]基本 (1)'!L104</f>
        <v>0.9</v>
      </c>
      <c r="BB43" s="373"/>
      <c r="BC43" s="369">
        <f>'[1]基本 (1)'!L104</f>
        <v>0.9</v>
      </c>
      <c r="BD43" s="373"/>
      <c r="BE43" s="369">
        <f>'[1]基本 (1)'!L104</f>
        <v>0.9</v>
      </c>
      <c r="BF43" s="373"/>
      <c r="BG43" s="369">
        <f>'[1]基本 (1)'!L104</f>
        <v>0.9</v>
      </c>
      <c r="BH43" s="373"/>
      <c r="BI43" s="369">
        <f>'[1]基本 (1)'!L104</f>
        <v>0.9</v>
      </c>
      <c r="BJ43" s="373"/>
      <c r="BK43" s="373"/>
      <c r="BL43" s="373"/>
      <c r="BM43" s="373"/>
      <c r="BN43" s="373"/>
      <c r="BO43" s="373"/>
      <c r="BP43" s="373"/>
    </row>
    <row r="44" spans="2:68" ht="14.25" hidden="1" customHeight="1">
      <c r="B44" s="367" t="s">
        <v>924</v>
      </c>
      <c r="C44" s="367"/>
      <c r="D44" s="367"/>
      <c r="E44" s="367"/>
      <c r="F44" s="367"/>
      <c r="G44" s="367"/>
      <c r="H44" s="368"/>
      <c r="I44" s="368"/>
      <c r="J44" s="368"/>
      <c r="K44" s="369"/>
      <c r="L44" s="369"/>
      <c r="M44" s="372"/>
      <c r="N44" s="372"/>
      <c r="O44" s="369"/>
      <c r="P44" s="369"/>
      <c r="Q44" s="373"/>
      <c r="R44" s="373"/>
      <c r="S44" s="373"/>
      <c r="T44" s="373"/>
      <c r="U44" s="373"/>
      <c r="V44" s="373"/>
      <c r="W44" s="373"/>
      <c r="X44" s="373"/>
      <c r="Y44" s="373"/>
      <c r="Z44" s="373"/>
      <c r="AA44" s="373"/>
      <c r="AB44" s="373"/>
      <c r="AC44" s="373"/>
      <c r="AD44" s="373"/>
      <c r="AE44" s="373"/>
      <c r="AF44" s="373"/>
      <c r="AG44" s="373"/>
      <c r="AH44" s="373"/>
      <c r="AI44" s="373"/>
      <c r="AJ44" s="373"/>
      <c r="AK44" s="373"/>
      <c r="AL44" s="373"/>
      <c r="AM44" s="373"/>
      <c r="AN44" s="373"/>
      <c r="AO44" s="373"/>
      <c r="AP44" s="373"/>
      <c r="AQ44" s="373"/>
      <c r="AR44" s="373"/>
      <c r="AS44" s="373"/>
      <c r="AT44" s="373"/>
      <c r="AU44" s="373"/>
      <c r="AV44" s="373"/>
      <c r="AW44" s="373"/>
      <c r="AX44" s="373"/>
      <c r="AY44" s="373"/>
      <c r="AZ44" s="373"/>
      <c r="BA44" s="373"/>
      <c r="BB44" s="373"/>
      <c r="BC44" s="373"/>
      <c r="BD44" s="373"/>
      <c r="BE44" s="373"/>
      <c r="BF44" s="373"/>
      <c r="BG44" s="373"/>
      <c r="BH44" s="373"/>
      <c r="BI44" s="373"/>
      <c r="BJ44" s="373"/>
      <c r="BK44" s="373"/>
      <c r="BL44" s="373"/>
      <c r="BM44" s="373"/>
      <c r="BN44" s="373"/>
      <c r="BO44" s="373"/>
      <c r="BP44" s="373"/>
    </row>
    <row r="45" spans="2:68" ht="14.25" customHeight="1">
      <c r="B45" s="387" t="s">
        <v>925</v>
      </c>
      <c r="C45" s="387"/>
      <c r="D45" s="387"/>
      <c r="E45" s="387"/>
      <c r="F45" s="387"/>
      <c r="G45" s="387"/>
      <c r="H45" s="368"/>
      <c r="I45" s="368"/>
      <c r="J45" s="368"/>
      <c r="K45" s="369">
        <f>SUM(K7,K13,K17,K20,K21,K22,K28,K30,K31,K32,K33,K34,K42,K43,K44)</f>
        <v>206.40000000000003</v>
      </c>
      <c r="L45" s="369"/>
      <c r="M45" s="370"/>
      <c r="N45" s="370"/>
      <c r="O45" s="369">
        <f>SUM(O7,O13,O17,O20,O21,O22,O28,O30,O31,O32,O33,O34,O42,O43,O44)</f>
        <v>174.8</v>
      </c>
      <c r="P45" s="369"/>
      <c r="Q45" s="369">
        <f>SUMIF(Q7:R44,"&lt;&gt;" &amp; "",Q7:R44)</f>
        <v>0</v>
      </c>
      <c r="R45" s="369"/>
      <c r="S45" s="369">
        <f>SUMIF(S7:T44,"&lt;&gt;" &amp; "",S7:T44)</f>
        <v>105.60000000000001</v>
      </c>
      <c r="T45" s="369"/>
      <c r="U45" s="369">
        <f>SUMIF(U7:V44,"&lt;&gt;" &amp; "",U7:V44)</f>
        <v>99.40000000000002</v>
      </c>
      <c r="V45" s="369"/>
      <c r="W45" s="369">
        <f>SUMIF(W7:X44,"&lt;&gt;" &amp; "",W7:X44)</f>
        <v>83.7</v>
      </c>
      <c r="X45" s="369"/>
      <c r="Y45" s="369">
        <f>SUMIF(Y7:Z44,"&lt;&gt;" &amp; "",Y7:Z44)</f>
        <v>74.5</v>
      </c>
      <c r="Z45" s="369"/>
      <c r="AA45" s="369">
        <f>SUMIF(AA7:AB44,"&lt;&gt;" &amp; "",AA7:AB44)</f>
        <v>67.48</v>
      </c>
      <c r="AB45" s="369"/>
      <c r="AC45" s="369">
        <f>SUMIF(AC7:AD44,"&lt;&gt;" &amp; "",AC7:AD44)</f>
        <v>67.48</v>
      </c>
      <c r="AD45" s="369"/>
      <c r="AE45" s="369">
        <f>SUMIF(AE7:AF44,"&lt;&gt;" &amp; "",AE7:AF44)</f>
        <v>45.779999999999994</v>
      </c>
      <c r="AF45" s="369"/>
      <c r="AG45" s="369">
        <f>SUMIF(AG7:AH44,"&lt;&gt;" &amp; "",AG7:AH44)</f>
        <v>25.18</v>
      </c>
      <c r="AH45" s="369"/>
      <c r="AI45" s="369">
        <f>SUMIF(AI7:AJ44,"&lt;&gt;" &amp; "",AI7:AJ44)</f>
        <v>0</v>
      </c>
      <c r="AJ45" s="369"/>
      <c r="AK45" s="369">
        <f>SUMIF(AK7:AL44,"&lt;&gt;" &amp; "",AK7:AL44)</f>
        <v>0</v>
      </c>
      <c r="AL45" s="369"/>
      <c r="AM45" s="369">
        <f>SUMIF(AM7:AN44,"&lt;&gt;" &amp; "",AM7:AN44)</f>
        <v>0</v>
      </c>
      <c r="AN45" s="369"/>
      <c r="AO45" s="369">
        <f>SUMIF(AO7:AP44,"&lt;&gt;" &amp; "",AO7:AP44)</f>
        <v>0</v>
      </c>
      <c r="AP45" s="369"/>
      <c r="AQ45" s="369">
        <f>SUMIF(AQ7:AR44,"&lt;&gt;" &amp; "",AQ7:AR44)</f>
        <v>0</v>
      </c>
      <c r="AR45" s="369"/>
      <c r="AS45" s="369">
        <f>SUMIF(AS7:AT44,"&lt;&gt;" &amp; "",AS7:AT44)</f>
        <v>0</v>
      </c>
      <c r="AT45" s="369"/>
      <c r="AU45" s="369">
        <f>SUMIF(AU7:AV44,"&lt;&gt;" &amp; "",AU7:AV44)</f>
        <v>0</v>
      </c>
      <c r="AV45" s="369"/>
      <c r="AW45" s="369">
        <f>SUMIF(AW7:AX44,"&lt;&gt;" &amp; "",AW7:AX44)</f>
        <v>95.40000000000002</v>
      </c>
      <c r="AX45" s="369"/>
      <c r="AY45" s="369">
        <f>SUMIF(AY7:AZ44,"&lt;&gt;" &amp; "",AY7:AZ44)</f>
        <v>0</v>
      </c>
      <c r="AZ45" s="369"/>
      <c r="BA45" s="369">
        <f>SUMIF(BA7:BB44,"&lt;&gt;" &amp; "",BA7:BB44)</f>
        <v>68.400000000000006</v>
      </c>
      <c r="BB45" s="369"/>
      <c r="BC45" s="369">
        <f>SUMIF(BC7:BD44,"&lt;&gt;" &amp; "",BC7:BD44)</f>
        <v>114.40000000000002</v>
      </c>
      <c r="BD45" s="369"/>
      <c r="BE45" s="369">
        <f>SUMIF(BE7:BF44,"&lt;&gt;" &amp; "",BE7:BF44)</f>
        <v>176.70000000000002</v>
      </c>
      <c r="BF45" s="369"/>
      <c r="BG45" s="369">
        <f>SUMIF(BG7:BH44,"&lt;&gt;" &amp; "",BG7:BH44)</f>
        <v>74.600000000000009</v>
      </c>
      <c r="BH45" s="369"/>
      <c r="BI45" s="369">
        <f>SUMIF(BI7:BJ44,"&lt;&gt;" &amp; "",BI7:BJ44)</f>
        <v>176.70000000000002</v>
      </c>
      <c r="BJ45" s="369"/>
      <c r="BK45" s="369">
        <f>SUMIF(BK7:BL44,"&lt;&gt;" &amp; "",BK7:BL44)</f>
        <v>0</v>
      </c>
      <c r="BL45" s="369"/>
      <c r="BM45" s="369">
        <f>SUMIF(BM7:BN44,"&lt;&gt;" &amp; "",BM7:BN44)</f>
        <v>58.5</v>
      </c>
      <c r="BN45" s="369"/>
      <c r="BO45" s="369">
        <f>SUMIF(BO7:BP44,"&lt;&gt;" &amp; "",BO7:BP44)</f>
        <v>58.5</v>
      </c>
      <c r="BP45" s="369"/>
    </row>
    <row r="46" spans="2:68" ht="14.25" customHeight="1">
      <c r="B46" s="387" t="s">
        <v>861</v>
      </c>
      <c r="C46" s="387"/>
      <c r="D46" s="387"/>
      <c r="E46" s="387"/>
      <c r="F46" s="387"/>
      <c r="G46" s="387"/>
      <c r="H46" s="368"/>
      <c r="I46" s="368"/>
      <c r="J46" s="368"/>
      <c r="K46" s="373"/>
      <c r="L46" s="373"/>
      <c r="M46" s="388"/>
      <c r="N46" s="388"/>
      <c r="O46" s="373"/>
      <c r="P46" s="373"/>
      <c r="Q46" s="369">
        <f>ROUND(Q45*1.7,0)</f>
        <v>0</v>
      </c>
      <c r="R46" s="369"/>
      <c r="S46" s="369">
        <f>ROUND(S45*1.7,0)</f>
        <v>180</v>
      </c>
      <c r="T46" s="369"/>
      <c r="U46" s="369">
        <f>ROUND(U45*1.7,0)</f>
        <v>169</v>
      </c>
      <c r="V46" s="369"/>
      <c r="W46" s="369">
        <f>ROUND(W45*1.7,0)</f>
        <v>142</v>
      </c>
      <c r="X46" s="369"/>
      <c r="Y46" s="369">
        <f>ROUND(Y45*1.7,0)</f>
        <v>127</v>
      </c>
      <c r="Z46" s="369"/>
      <c r="AA46" s="369">
        <f>(ROUND(AA45 * 1.7,0)) * '[1]基本 (1)'!L14</f>
        <v>115</v>
      </c>
      <c r="AB46" s="369"/>
      <c r="AC46" s="369">
        <f>(ROUND(AC45 * 1.7,0)) * '[1]基本 (1)'!L14</f>
        <v>115</v>
      </c>
      <c r="AD46" s="369"/>
      <c r="AE46" s="369">
        <f>(ROUND(AE45 * 1.7,0)) * '[1]基本 (1)'!L14</f>
        <v>78</v>
      </c>
      <c r="AF46" s="369"/>
      <c r="AG46" s="369">
        <f>(ROUND(AG45 * 1.7,0)) * '[1]基本 (1)'!L14</f>
        <v>43</v>
      </c>
      <c r="AH46" s="369"/>
      <c r="AI46" s="369">
        <f>(ROUND(AI45 * 1.7,0)) * '[1]基本 (1)'!L14</f>
        <v>0</v>
      </c>
      <c r="AJ46" s="369"/>
      <c r="AK46" s="369">
        <f>(ROUND(AK45 * 1.7,0)) * '[1]基本 (1)'!L14</f>
        <v>0</v>
      </c>
      <c r="AL46" s="369"/>
      <c r="AM46" s="369">
        <f>(ROUND(AM45 * 1.7,0)) * '[1]基本 (1)'!L14</f>
        <v>0</v>
      </c>
      <c r="AN46" s="369"/>
      <c r="AO46" s="369">
        <f>(ROUND(AO45 * 1.7,0)) * '[1]基本 (1)'!L14</f>
        <v>0</v>
      </c>
      <c r="AP46" s="369"/>
      <c r="AQ46" s="369">
        <f>(ROUND(AQ45 * 1.7,0)) * '[1]基本 (1)'!L14</f>
        <v>0</v>
      </c>
      <c r="AR46" s="369"/>
      <c r="AS46" s="369">
        <f>(ROUND(AS45 * 1.7,0)) * '[1]基本 (1)'!L14</f>
        <v>0</v>
      </c>
      <c r="AT46" s="369"/>
      <c r="AU46" s="369">
        <f>(ROUND(AU45 * 1.7,0)) * '[1]基本 (1)'!L14</f>
        <v>0</v>
      </c>
      <c r="AV46" s="369"/>
      <c r="AW46" s="369">
        <f>ROUND(AW45*1.7,0)</f>
        <v>162</v>
      </c>
      <c r="AX46" s="369"/>
      <c r="AY46" s="369">
        <f>ROUND(AY45*1.7,0)</f>
        <v>0</v>
      </c>
      <c r="AZ46" s="369"/>
      <c r="BA46" s="369">
        <f>ROUND(BA45*1.7,0)</f>
        <v>116</v>
      </c>
      <c r="BB46" s="369"/>
      <c r="BC46" s="369">
        <f>ROUND(BC45*1.7,0)</f>
        <v>194</v>
      </c>
      <c r="BD46" s="369"/>
      <c r="BE46" s="369">
        <f>ROUND(BE45*1.7,0)</f>
        <v>300</v>
      </c>
      <c r="BF46" s="369"/>
      <c r="BG46" s="369">
        <f>ROUND(BG45*1.7,0)</f>
        <v>127</v>
      </c>
      <c r="BH46" s="369"/>
      <c r="BI46" s="369">
        <f>ROUND(BI45*1.7,0)</f>
        <v>300</v>
      </c>
      <c r="BJ46" s="369"/>
      <c r="BK46" s="369">
        <f>ROUND(BK45*1.7,0)</f>
        <v>0</v>
      </c>
      <c r="BL46" s="369"/>
      <c r="BM46" s="369">
        <f>ROUND(BM45*1.7,0)</f>
        <v>99</v>
      </c>
      <c r="BN46" s="369"/>
      <c r="BO46" s="369">
        <f>ROUND(BO45*1.7,0)</f>
        <v>99</v>
      </c>
      <c r="BP46" s="369"/>
    </row>
    <row r="47" spans="2:68" ht="14.25" customHeight="1">
      <c r="B47" s="387" t="s">
        <v>926</v>
      </c>
      <c r="C47" s="387"/>
      <c r="D47" s="387"/>
      <c r="E47" s="387"/>
      <c r="F47" s="387"/>
      <c r="G47" s="387"/>
      <c r="H47" s="368"/>
      <c r="I47" s="368"/>
      <c r="J47" s="368"/>
      <c r="K47" s="373"/>
      <c r="L47" s="373"/>
      <c r="M47" s="388"/>
      <c r="N47" s="388"/>
      <c r="O47" s="373"/>
      <c r="P47" s="373"/>
      <c r="Q47" s="373"/>
      <c r="R47" s="373"/>
      <c r="S47" s="373"/>
      <c r="T47" s="373"/>
      <c r="U47" s="373"/>
      <c r="V47" s="373"/>
      <c r="W47" s="373"/>
      <c r="X47" s="373"/>
      <c r="Y47" s="373"/>
      <c r="Z47" s="373"/>
      <c r="AA47" s="373"/>
      <c r="AB47" s="373"/>
      <c r="AC47" s="373"/>
      <c r="AD47" s="373"/>
      <c r="AE47" s="373"/>
      <c r="AF47" s="373"/>
      <c r="AG47" s="369">
        <f>SUM(AA46:AH46)</f>
        <v>351</v>
      </c>
      <c r="AH47" s="373"/>
      <c r="AI47" s="373"/>
      <c r="AJ47" s="373"/>
      <c r="AK47" s="373"/>
      <c r="AL47" s="373"/>
      <c r="AM47" s="373"/>
      <c r="AN47" s="373"/>
      <c r="AO47" s="373"/>
      <c r="AP47" s="373"/>
      <c r="AQ47" s="373"/>
      <c r="AR47" s="373"/>
      <c r="AS47" s="373"/>
      <c r="AT47" s="373"/>
      <c r="AU47" s="373"/>
      <c r="AV47" s="373"/>
      <c r="AW47" s="373"/>
      <c r="AX47" s="373"/>
      <c r="AY47" s="373"/>
      <c r="AZ47" s="373"/>
      <c r="BA47" s="373"/>
      <c r="BB47" s="373"/>
      <c r="BC47" s="373"/>
      <c r="BD47" s="373"/>
      <c r="BE47" s="369">
        <f>ROUND(BE46/30,1)</f>
        <v>10</v>
      </c>
      <c r="BF47" s="369"/>
      <c r="BG47" s="369">
        <f>ROUND(BG46/30,1)</f>
        <v>4.2</v>
      </c>
      <c r="BH47" s="369"/>
      <c r="BI47" s="369">
        <f>ROUND(BI46/30,1)</f>
        <v>10</v>
      </c>
      <c r="BJ47" s="369"/>
      <c r="BK47" s="369">
        <f>ROUND(BK46/30,1)</f>
        <v>0</v>
      </c>
      <c r="BL47" s="369"/>
      <c r="BM47" s="373"/>
      <c r="BN47" s="373"/>
      <c r="BO47" s="373"/>
      <c r="BP47" s="373"/>
    </row>
  </sheetData>
  <mergeCells count="1302">
    <mergeCell ref="BI47:BJ47"/>
    <mergeCell ref="BK47:BL47"/>
    <mergeCell ref="BM47:BN47"/>
    <mergeCell ref="BO47:BP47"/>
    <mergeCell ref="AW47:AX47"/>
    <mergeCell ref="AY47:AZ47"/>
    <mergeCell ref="BA47:BB47"/>
    <mergeCell ref="BC47:BD47"/>
    <mergeCell ref="BE47:BF47"/>
    <mergeCell ref="BG47:BH47"/>
    <mergeCell ref="AK47:AL47"/>
    <mergeCell ref="AM47:AN47"/>
    <mergeCell ref="AO47:AP47"/>
    <mergeCell ref="AQ47:AR47"/>
    <mergeCell ref="AS47:AT47"/>
    <mergeCell ref="AU47:AV47"/>
    <mergeCell ref="Y47:Z47"/>
    <mergeCell ref="AA47:AB47"/>
    <mergeCell ref="AC47:AD47"/>
    <mergeCell ref="AE47:AF47"/>
    <mergeCell ref="AG47:AH47"/>
    <mergeCell ref="AI47:AJ47"/>
    <mergeCell ref="BO46:BP46"/>
    <mergeCell ref="B47:G47"/>
    <mergeCell ref="H47:J47"/>
    <mergeCell ref="K47:L47"/>
    <mergeCell ref="M47:N47"/>
    <mergeCell ref="O47:P47"/>
    <mergeCell ref="Q47:R47"/>
    <mergeCell ref="S47:T47"/>
    <mergeCell ref="U47:V47"/>
    <mergeCell ref="W47:X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BI45:BJ45"/>
    <mergeCell ref="BK45:BL45"/>
    <mergeCell ref="BM45:BN45"/>
    <mergeCell ref="BO45:BP45"/>
    <mergeCell ref="B46:G46"/>
    <mergeCell ref="H46:J46"/>
    <mergeCell ref="K46:L46"/>
    <mergeCell ref="M46:N46"/>
    <mergeCell ref="O46:P46"/>
    <mergeCell ref="Q46:R46"/>
    <mergeCell ref="AW45:AX45"/>
    <mergeCell ref="AY45:AZ45"/>
    <mergeCell ref="BA45:BB45"/>
    <mergeCell ref="BC45:BD45"/>
    <mergeCell ref="BE45:BF45"/>
    <mergeCell ref="BG45:BH45"/>
    <mergeCell ref="AK45:AL45"/>
    <mergeCell ref="AM45:AN45"/>
    <mergeCell ref="AO45:AP45"/>
    <mergeCell ref="AQ45:AR45"/>
    <mergeCell ref="AS45:AT45"/>
    <mergeCell ref="AU45:AV45"/>
    <mergeCell ref="Y45:Z45"/>
    <mergeCell ref="AA45:AB45"/>
    <mergeCell ref="AC45:AD45"/>
    <mergeCell ref="AE45:AF45"/>
    <mergeCell ref="AG45:AH45"/>
    <mergeCell ref="AI45:AJ45"/>
    <mergeCell ref="BO44:BP44"/>
    <mergeCell ref="B45:G45"/>
    <mergeCell ref="H45:J45"/>
    <mergeCell ref="K45:L45"/>
    <mergeCell ref="M45:N45"/>
    <mergeCell ref="O45:P45"/>
    <mergeCell ref="Q45:R45"/>
    <mergeCell ref="S45:T45"/>
    <mergeCell ref="U45:V45"/>
    <mergeCell ref="W45:X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BI43:BJ43"/>
    <mergeCell ref="BK43:BL43"/>
    <mergeCell ref="BM43:BN43"/>
    <mergeCell ref="BO43:BP43"/>
    <mergeCell ref="B44:G44"/>
    <mergeCell ref="H44:J44"/>
    <mergeCell ref="K44:L44"/>
    <mergeCell ref="M44:N44"/>
    <mergeCell ref="O44:P44"/>
    <mergeCell ref="Q44:R44"/>
    <mergeCell ref="AW43:AX43"/>
    <mergeCell ref="AY43:AZ43"/>
    <mergeCell ref="BA43:BB43"/>
    <mergeCell ref="BC43:BD43"/>
    <mergeCell ref="BE43:BF43"/>
    <mergeCell ref="BG43:BH43"/>
    <mergeCell ref="AK43:AL43"/>
    <mergeCell ref="AM43:AN43"/>
    <mergeCell ref="AO43:AP43"/>
    <mergeCell ref="AQ43:AR43"/>
    <mergeCell ref="AS43:AT43"/>
    <mergeCell ref="AU43:AV43"/>
    <mergeCell ref="Y43:Z43"/>
    <mergeCell ref="AA43:AB43"/>
    <mergeCell ref="AC43:AD43"/>
    <mergeCell ref="AE43:AF43"/>
    <mergeCell ref="AG43:AH43"/>
    <mergeCell ref="AI43:AJ43"/>
    <mergeCell ref="BO42:BP42"/>
    <mergeCell ref="B43:G43"/>
    <mergeCell ref="H43:J43"/>
    <mergeCell ref="K43:L43"/>
    <mergeCell ref="M43:N43"/>
    <mergeCell ref="O43:P43"/>
    <mergeCell ref="Q43:R43"/>
    <mergeCell ref="S43:T43"/>
    <mergeCell ref="U43:V43"/>
    <mergeCell ref="W43:X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BI41:BJ41"/>
    <mergeCell ref="BK41:BL41"/>
    <mergeCell ref="BM41:BN41"/>
    <mergeCell ref="BO41:BP41"/>
    <mergeCell ref="B42:G42"/>
    <mergeCell ref="H42:J42"/>
    <mergeCell ref="K42:L42"/>
    <mergeCell ref="M42:N42"/>
    <mergeCell ref="O42:P42"/>
    <mergeCell ref="Q42:R42"/>
    <mergeCell ref="AW41:AX41"/>
    <mergeCell ref="AY41:AZ41"/>
    <mergeCell ref="BA41:BB41"/>
    <mergeCell ref="BC41:BD41"/>
    <mergeCell ref="BE41:BF41"/>
    <mergeCell ref="BG41:BH41"/>
    <mergeCell ref="AK41:AL41"/>
    <mergeCell ref="AM41:AN41"/>
    <mergeCell ref="AO41:AP41"/>
    <mergeCell ref="AQ41:AR41"/>
    <mergeCell ref="AS41:AT41"/>
    <mergeCell ref="AU41:AV41"/>
    <mergeCell ref="Y41:Z41"/>
    <mergeCell ref="AA41:AB41"/>
    <mergeCell ref="AC41:AD41"/>
    <mergeCell ref="AE41:AF41"/>
    <mergeCell ref="AG41:AH41"/>
    <mergeCell ref="AI41:AJ41"/>
    <mergeCell ref="BO40:BP40"/>
    <mergeCell ref="B41:G41"/>
    <mergeCell ref="H41:J41"/>
    <mergeCell ref="K41:L41"/>
    <mergeCell ref="M41:N41"/>
    <mergeCell ref="O41:P41"/>
    <mergeCell ref="Q41:R41"/>
    <mergeCell ref="S41:T41"/>
    <mergeCell ref="U41:V41"/>
    <mergeCell ref="W41:X41"/>
    <mergeCell ref="BC40:BD40"/>
    <mergeCell ref="BE40:BF40"/>
    <mergeCell ref="BG40:BH40"/>
    <mergeCell ref="BI40:BJ40"/>
    <mergeCell ref="BK40:BL40"/>
    <mergeCell ref="BM40:BN40"/>
    <mergeCell ref="AQ40:AR40"/>
    <mergeCell ref="AS40:AT40"/>
    <mergeCell ref="AU40:AV40"/>
    <mergeCell ref="AW40:AX40"/>
    <mergeCell ref="AY40:AZ40"/>
    <mergeCell ref="BA40:BB40"/>
    <mergeCell ref="AE40:AF40"/>
    <mergeCell ref="AG40:AH40"/>
    <mergeCell ref="AI40:AJ40"/>
    <mergeCell ref="AK40:AL40"/>
    <mergeCell ref="AM40:AN40"/>
    <mergeCell ref="AO40:AP40"/>
    <mergeCell ref="S40:T40"/>
    <mergeCell ref="U40:V40"/>
    <mergeCell ref="W40:X40"/>
    <mergeCell ref="Y40:Z40"/>
    <mergeCell ref="AA40:AB40"/>
    <mergeCell ref="AC40:AD40"/>
    <mergeCell ref="BI39:BJ39"/>
    <mergeCell ref="BK39:BL39"/>
    <mergeCell ref="BM39:BN39"/>
    <mergeCell ref="BO39:BP39"/>
    <mergeCell ref="B40:G40"/>
    <mergeCell ref="H40:J40"/>
    <mergeCell ref="K40:L40"/>
    <mergeCell ref="M40:N40"/>
    <mergeCell ref="O40:P40"/>
    <mergeCell ref="Q40:R40"/>
    <mergeCell ref="AW39:AX39"/>
    <mergeCell ref="AY39:AZ39"/>
    <mergeCell ref="BA39:BB39"/>
    <mergeCell ref="BC39:BD39"/>
    <mergeCell ref="BE39:BF39"/>
    <mergeCell ref="BG39:BH39"/>
    <mergeCell ref="AK39:AL39"/>
    <mergeCell ref="AM39:AN39"/>
    <mergeCell ref="AO39:AP39"/>
    <mergeCell ref="AQ39:AR39"/>
    <mergeCell ref="AS39:AT39"/>
    <mergeCell ref="AU39:AV39"/>
    <mergeCell ref="Y39:Z39"/>
    <mergeCell ref="AA39:AB39"/>
    <mergeCell ref="AC39:AD39"/>
    <mergeCell ref="AE39:AF39"/>
    <mergeCell ref="AG39:AH39"/>
    <mergeCell ref="AI39:AJ39"/>
    <mergeCell ref="BO38:BP38"/>
    <mergeCell ref="B39:G39"/>
    <mergeCell ref="H39:J39"/>
    <mergeCell ref="K39:L39"/>
    <mergeCell ref="M39:N39"/>
    <mergeCell ref="O39:P39"/>
    <mergeCell ref="Q39:R39"/>
    <mergeCell ref="S39:T39"/>
    <mergeCell ref="U39:V39"/>
    <mergeCell ref="W39:X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BI37:BJ37"/>
    <mergeCell ref="BK37:BL37"/>
    <mergeCell ref="BM37:BN37"/>
    <mergeCell ref="BO37:BP37"/>
    <mergeCell ref="B38:G38"/>
    <mergeCell ref="H38:J38"/>
    <mergeCell ref="K38:L38"/>
    <mergeCell ref="M38:N38"/>
    <mergeCell ref="O38:P38"/>
    <mergeCell ref="Q38:R38"/>
    <mergeCell ref="AW37:AX37"/>
    <mergeCell ref="AY37:AZ37"/>
    <mergeCell ref="BA37:BB37"/>
    <mergeCell ref="BC37:BD37"/>
    <mergeCell ref="BE37:BF37"/>
    <mergeCell ref="BG37:BH37"/>
    <mergeCell ref="AK37:AL37"/>
    <mergeCell ref="AM37:AN37"/>
    <mergeCell ref="AO37:AP37"/>
    <mergeCell ref="AQ37:AR37"/>
    <mergeCell ref="AS37:AT37"/>
    <mergeCell ref="AU37:AV37"/>
    <mergeCell ref="Y37:Z37"/>
    <mergeCell ref="AA37:AB37"/>
    <mergeCell ref="AC37:AD37"/>
    <mergeCell ref="AE37:AF37"/>
    <mergeCell ref="AG37:AH37"/>
    <mergeCell ref="AI37:AJ37"/>
    <mergeCell ref="BO36:BP36"/>
    <mergeCell ref="B37:G37"/>
    <mergeCell ref="H37:J37"/>
    <mergeCell ref="K37:L37"/>
    <mergeCell ref="M37:N37"/>
    <mergeCell ref="O37:P37"/>
    <mergeCell ref="Q37:R37"/>
    <mergeCell ref="S37:T37"/>
    <mergeCell ref="U37:V37"/>
    <mergeCell ref="W37:X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BI35:BJ35"/>
    <mergeCell ref="BK35:BL35"/>
    <mergeCell ref="BM35:BN35"/>
    <mergeCell ref="BO35:BP35"/>
    <mergeCell ref="B36:G36"/>
    <mergeCell ref="H36:J36"/>
    <mergeCell ref="K36:L36"/>
    <mergeCell ref="M36:N36"/>
    <mergeCell ref="O36:P36"/>
    <mergeCell ref="Q36:R36"/>
    <mergeCell ref="AW35:AX35"/>
    <mergeCell ref="AY35:AZ35"/>
    <mergeCell ref="BA35:BB35"/>
    <mergeCell ref="BC35:BD35"/>
    <mergeCell ref="BE35:BF35"/>
    <mergeCell ref="BG35:BH35"/>
    <mergeCell ref="AK35:AL35"/>
    <mergeCell ref="AM35:AN35"/>
    <mergeCell ref="AO35:AP35"/>
    <mergeCell ref="AQ35:AR35"/>
    <mergeCell ref="AS35:AT35"/>
    <mergeCell ref="AU35:AV35"/>
    <mergeCell ref="Y35:Z35"/>
    <mergeCell ref="AA35:AB35"/>
    <mergeCell ref="AC35:AD35"/>
    <mergeCell ref="AE35:AF35"/>
    <mergeCell ref="AG35:AH35"/>
    <mergeCell ref="AI35:AJ35"/>
    <mergeCell ref="BO34:BP34"/>
    <mergeCell ref="B35:G35"/>
    <mergeCell ref="H35:J35"/>
    <mergeCell ref="K35:L35"/>
    <mergeCell ref="M35:N35"/>
    <mergeCell ref="O35:P35"/>
    <mergeCell ref="Q35:R35"/>
    <mergeCell ref="S35:T35"/>
    <mergeCell ref="U35:V35"/>
    <mergeCell ref="W35:X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E34:AF34"/>
    <mergeCell ref="AG34:AH34"/>
    <mergeCell ref="AI34:AJ34"/>
    <mergeCell ref="AK34:AL34"/>
    <mergeCell ref="AM34:AN34"/>
    <mergeCell ref="AO34:AP34"/>
    <mergeCell ref="S34:T34"/>
    <mergeCell ref="U34:V34"/>
    <mergeCell ref="W34:X34"/>
    <mergeCell ref="Y34:Z34"/>
    <mergeCell ref="AA34:AB34"/>
    <mergeCell ref="AC34:AD34"/>
    <mergeCell ref="BI33:BJ33"/>
    <mergeCell ref="BK33:BL33"/>
    <mergeCell ref="BM33:BN33"/>
    <mergeCell ref="BO33:BP33"/>
    <mergeCell ref="B34:G34"/>
    <mergeCell ref="H34:J34"/>
    <mergeCell ref="K34:L34"/>
    <mergeCell ref="M34:N34"/>
    <mergeCell ref="O34:P34"/>
    <mergeCell ref="Q34:R34"/>
    <mergeCell ref="AW33:AX33"/>
    <mergeCell ref="AY33:AZ33"/>
    <mergeCell ref="BA33:BB33"/>
    <mergeCell ref="BC33:BD33"/>
    <mergeCell ref="BE33:BF33"/>
    <mergeCell ref="BG33:BH33"/>
    <mergeCell ref="AK33:AL33"/>
    <mergeCell ref="AM33:AN33"/>
    <mergeCell ref="AO33:AP33"/>
    <mergeCell ref="AQ33:AR33"/>
    <mergeCell ref="AS33:AT33"/>
    <mergeCell ref="AU33:AV33"/>
    <mergeCell ref="Y33:Z33"/>
    <mergeCell ref="AA33:AB33"/>
    <mergeCell ref="AC33:AD33"/>
    <mergeCell ref="AE33:AF33"/>
    <mergeCell ref="AG33:AH33"/>
    <mergeCell ref="AI33:AJ33"/>
    <mergeCell ref="BO32:BP32"/>
    <mergeCell ref="B33:G33"/>
    <mergeCell ref="H33:J33"/>
    <mergeCell ref="K33:L33"/>
    <mergeCell ref="M33:N33"/>
    <mergeCell ref="O33:P33"/>
    <mergeCell ref="Q33:R33"/>
    <mergeCell ref="S33:T33"/>
    <mergeCell ref="U33:V33"/>
    <mergeCell ref="W33:X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I31:BJ31"/>
    <mergeCell ref="BK31:BL31"/>
    <mergeCell ref="BM31:BN31"/>
    <mergeCell ref="BO31:BP31"/>
    <mergeCell ref="B32:G32"/>
    <mergeCell ref="H32:J32"/>
    <mergeCell ref="K32:L32"/>
    <mergeCell ref="M32:N32"/>
    <mergeCell ref="O32:P32"/>
    <mergeCell ref="Q32:R32"/>
    <mergeCell ref="AW31:AX31"/>
    <mergeCell ref="AY31:AZ31"/>
    <mergeCell ref="BA31:BB31"/>
    <mergeCell ref="BC31:BD31"/>
    <mergeCell ref="BE31:BF31"/>
    <mergeCell ref="BG31:BH31"/>
    <mergeCell ref="AK31:AL31"/>
    <mergeCell ref="AM31:AN31"/>
    <mergeCell ref="AO31:AP31"/>
    <mergeCell ref="AQ31:AR31"/>
    <mergeCell ref="AS31:AT31"/>
    <mergeCell ref="AU31:AV31"/>
    <mergeCell ref="Y31:Z31"/>
    <mergeCell ref="AA31:AB31"/>
    <mergeCell ref="AC31:AD31"/>
    <mergeCell ref="AE31:AF31"/>
    <mergeCell ref="AG31:AH31"/>
    <mergeCell ref="AI31:AJ31"/>
    <mergeCell ref="BO30:BP30"/>
    <mergeCell ref="B31:G31"/>
    <mergeCell ref="H31:J31"/>
    <mergeCell ref="K31:L31"/>
    <mergeCell ref="M31:N31"/>
    <mergeCell ref="O31:P31"/>
    <mergeCell ref="Q31:R31"/>
    <mergeCell ref="S31:T31"/>
    <mergeCell ref="U31:V31"/>
    <mergeCell ref="W31:X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BI29:BJ29"/>
    <mergeCell ref="BK29:BL29"/>
    <mergeCell ref="BM29:BN29"/>
    <mergeCell ref="BO29:BP29"/>
    <mergeCell ref="B30:G30"/>
    <mergeCell ref="H30:J30"/>
    <mergeCell ref="K30:L30"/>
    <mergeCell ref="M30:N30"/>
    <mergeCell ref="O30:P30"/>
    <mergeCell ref="Q30:R30"/>
    <mergeCell ref="AW29:AX29"/>
    <mergeCell ref="AY29:AZ29"/>
    <mergeCell ref="BA29:BB29"/>
    <mergeCell ref="BC29:BD29"/>
    <mergeCell ref="BE29:BF29"/>
    <mergeCell ref="BG29:BH29"/>
    <mergeCell ref="AK29:AL29"/>
    <mergeCell ref="AM29:AN29"/>
    <mergeCell ref="AO29:AP29"/>
    <mergeCell ref="AQ29:AR29"/>
    <mergeCell ref="AS29:AT29"/>
    <mergeCell ref="AU29:AV29"/>
    <mergeCell ref="Y29:Z29"/>
    <mergeCell ref="AA29:AB29"/>
    <mergeCell ref="AC29:AD29"/>
    <mergeCell ref="AE29:AF29"/>
    <mergeCell ref="AG29:AH29"/>
    <mergeCell ref="AI29:AJ29"/>
    <mergeCell ref="BO28:BP28"/>
    <mergeCell ref="B29:G29"/>
    <mergeCell ref="H29:J29"/>
    <mergeCell ref="K29:L29"/>
    <mergeCell ref="M29:N29"/>
    <mergeCell ref="O29:P29"/>
    <mergeCell ref="Q29:R29"/>
    <mergeCell ref="S29:T29"/>
    <mergeCell ref="U29:V29"/>
    <mergeCell ref="W29:X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I27:BJ27"/>
    <mergeCell ref="BK27:BL27"/>
    <mergeCell ref="BM27:BN27"/>
    <mergeCell ref="BO27:BP27"/>
    <mergeCell ref="B28:G28"/>
    <mergeCell ref="H28:J28"/>
    <mergeCell ref="K28:L28"/>
    <mergeCell ref="M28:N28"/>
    <mergeCell ref="O28:P28"/>
    <mergeCell ref="Q28:R28"/>
    <mergeCell ref="AW27:AX27"/>
    <mergeCell ref="AY27:AZ27"/>
    <mergeCell ref="BA27:BB27"/>
    <mergeCell ref="BC27:BD27"/>
    <mergeCell ref="BE27:BF27"/>
    <mergeCell ref="BG27:BH27"/>
    <mergeCell ref="AK27:AL27"/>
    <mergeCell ref="AM27:AN27"/>
    <mergeCell ref="AO27:AP27"/>
    <mergeCell ref="AQ27:AR27"/>
    <mergeCell ref="AS27:AT27"/>
    <mergeCell ref="AU27:AV27"/>
    <mergeCell ref="Y27:Z27"/>
    <mergeCell ref="AA27:AB27"/>
    <mergeCell ref="AC27:AD27"/>
    <mergeCell ref="AE27:AF27"/>
    <mergeCell ref="AG27:AH27"/>
    <mergeCell ref="AI27:AJ27"/>
    <mergeCell ref="BO26:BP26"/>
    <mergeCell ref="B27:G27"/>
    <mergeCell ref="H27:J27"/>
    <mergeCell ref="K27:L27"/>
    <mergeCell ref="M27:N27"/>
    <mergeCell ref="O27:P27"/>
    <mergeCell ref="Q27:R27"/>
    <mergeCell ref="S27:T27"/>
    <mergeCell ref="U27:V27"/>
    <mergeCell ref="W27:X27"/>
    <mergeCell ref="BC26:BD26"/>
    <mergeCell ref="BE26:BF26"/>
    <mergeCell ref="BG26:BH26"/>
    <mergeCell ref="BI26:BJ26"/>
    <mergeCell ref="BK26:BL26"/>
    <mergeCell ref="BM26:BN26"/>
    <mergeCell ref="AQ26:AR26"/>
    <mergeCell ref="AS26:AT26"/>
    <mergeCell ref="AU26:AV26"/>
    <mergeCell ref="AW26:AX26"/>
    <mergeCell ref="AY26:AZ26"/>
    <mergeCell ref="BA26:BB26"/>
    <mergeCell ref="AE26:AF26"/>
    <mergeCell ref="AG26:AH26"/>
    <mergeCell ref="AI26:AJ26"/>
    <mergeCell ref="AK26:AL26"/>
    <mergeCell ref="AM26:AN26"/>
    <mergeCell ref="AO26:AP26"/>
    <mergeCell ref="S26:T26"/>
    <mergeCell ref="U26:V26"/>
    <mergeCell ref="W26:X26"/>
    <mergeCell ref="Y26:Z26"/>
    <mergeCell ref="AA26:AB26"/>
    <mergeCell ref="AC26:AD26"/>
    <mergeCell ref="BI25:BJ25"/>
    <mergeCell ref="BK25:BL25"/>
    <mergeCell ref="BM25:BN25"/>
    <mergeCell ref="BO25:BP25"/>
    <mergeCell ref="B26:G26"/>
    <mergeCell ref="H26:J26"/>
    <mergeCell ref="K26:L26"/>
    <mergeCell ref="M26:N26"/>
    <mergeCell ref="O26:P26"/>
    <mergeCell ref="Q26:R26"/>
    <mergeCell ref="AW25:AX25"/>
    <mergeCell ref="AY25:AZ25"/>
    <mergeCell ref="BA25:BB25"/>
    <mergeCell ref="BC25:BD25"/>
    <mergeCell ref="BE25:BF25"/>
    <mergeCell ref="BG25:BH25"/>
    <mergeCell ref="AK25:AL25"/>
    <mergeCell ref="AM25:AN25"/>
    <mergeCell ref="AO25:AP25"/>
    <mergeCell ref="AQ25:AR25"/>
    <mergeCell ref="AS25:AT25"/>
    <mergeCell ref="AU25:AV25"/>
    <mergeCell ref="Y25:Z25"/>
    <mergeCell ref="AA25:AB25"/>
    <mergeCell ref="AC25:AD25"/>
    <mergeCell ref="AE25:AF25"/>
    <mergeCell ref="AG25:AH25"/>
    <mergeCell ref="AI25:AJ25"/>
    <mergeCell ref="BO24:BP24"/>
    <mergeCell ref="B25:G25"/>
    <mergeCell ref="H25:J25"/>
    <mergeCell ref="K25:L25"/>
    <mergeCell ref="M25:N25"/>
    <mergeCell ref="O25:P25"/>
    <mergeCell ref="Q25:R25"/>
    <mergeCell ref="S25:T25"/>
    <mergeCell ref="U25:V25"/>
    <mergeCell ref="W25:X25"/>
    <mergeCell ref="BC24:BD24"/>
    <mergeCell ref="BE24:BF24"/>
    <mergeCell ref="BG24:BH24"/>
    <mergeCell ref="BI24:BJ24"/>
    <mergeCell ref="BK24:BL24"/>
    <mergeCell ref="BM24:BN24"/>
    <mergeCell ref="AQ24:AR24"/>
    <mergeCell ref="AS24:AT24"/>
    <mergeCell ref="AU24:AV24"/>
    <mergeCell ref="AW24:AX24"/>
    <mergeCell ref="AY24:AZ24"/>
    <mergeCell ref="BA24:BB24"/>
    <mergeCell ref="AE24:AF24"/>
    <mergeCell ref="AG24:AH24"/>
    <mergeCell ref="AI24:AJ24"/>
    <mergeCell ref="AK24:AL24"/>
    <mergeCell ref="AM24:AN24"/>
    <mergeCell ref="AO24:AP24"/>
    <mergeCell ref="S24:T24"/>
    <mergeCell ref="U24:V24"/>
    <mergeCell ref="W24:X24"/>
    <mergeCell ref="Y24:Z24"/>
    <mergeCell ref="AA24:AB24"/>
    <mergeCell ref="AC24:AD24"/>
    <mergeCell ref="BI23:BJ23"/>
    <mergeCell ref="BK23:BL23"/>
    <mergeCell ref="BM23:BN23"/>
    <mergeCell ref="BO23:BP23"/>
    <mergeCell ref="B24:G24"/>
    <mergeCell ref="H24:J24"/>
    <mergeCell ref="K24:L24"/>
    <mergeCell ref="M24:N24"/>
    <mergeCell ref="O24:P24"/>
    <mergeCell ref="Q24:R24"/>
    <mergeCell ref="AW23:AX23"/>
    <mergeCell ref="AY23:AZ23"/>
    <mergeCell ref="BA23:BB23"/>
    <mergeCell ref="BC23:BD23"/>
    <mergeCell ref="BE23:BF23"/>
    <mergeCell ref="BG23:BH23"/>
    <mergeCell ref="AK23:AL23"/>
    <mergeCell ref="AM23:AN23"/>
    <mergeCell ref="AO23:AP23"/>
    <mergeCell ref="AQ23:AR23"/>
    <mergeCell ref="AS23:AT23"/>
    <mergeCell ref="AU23:AV23"/>
    <mergeCell ref="Y23:Z23"/>
    <mergeCell ref="AA23:AB23"/>
    <mergeCell ref="AC23:AD23"/>
    <mergeCell ref="AE23:AF23"/>
    <mergeCell ref="AG23:AH23"/>
    <mergeCell ref="AI23:AJ23"/>
    <mergeCell ref="BO22:BP22"/>
    <mergeCell ref="B23:G23"/>
    <mergeCell ref="H23:J23"/>
    <mergeCell ref="K23:L23"/>
    <mergeCell ref="M23:N23"/>
    <mergeCell ref="O23:P23"/>
    <mergeCell ref="Q23:R23"/>
    <mergeCell ref="S23:T23"/>
    <mergeCell ref="U23:V23"/>
    <mergeCell ref="W23:X23"/>
    <mergeCell ref="BC22:BD22"/>
    <mergeCell ref="BE22:BF22"/>
    <mergeCell ref="BG22:BH22"/>
    <mergeCell ref="BI22:BJ22"/>
    <mergeCell ref="BK22:BL22"/>
    <mergeCell ref="BM22:BN22"/>
    <mergeCell ref="AQ22:AR22"/>
    <mergeCell ref="AS22:AT22"/>
    <mergeCell ref="AU22:AV22"/>
    <mergeCell ref="AW22:AX22"/>
    <mergeCell ref="AY22:AZ22"/>
    <mergeCell ref="BA22:BB22"/>
    <mergeCell ref="AE22:AF22"/>
    <mergeCell ref="AG22:AH22"/>
    <mergeCell ref="AI22:AJ22"/>
    <mergeCell ref="AK22:AL22"/>
    <mergeCell ref="AM22:AN22"/>
    <mergeCell ref="AO22:AP22"/>
    <mergeCell ref="S22:T22"/>
    <mergeCell ref="U22:V22"/>
    <mergeCell ref="W22:X22"/>
    <mergeCell ref="Y22:Z22"/>
    <mergeCell ref="AA22:AB22"/>
    <mergeCell ref="AC22:AD22"/>
    <mergeCell ref="BI21:BJ21"/>
    <mergeCell ref="BK21:BL21"/>
    <mergeCell ref="BM21:BN21"/>
    <mergeCell ref="BO21:BP21"/>
    <mergeCell ref="B22:G22"/>
    <mergeCell ref="H22:J22"/>
    <mergeCell ref="K22:L22"/>
    <mergeCell ref="M22:N22"/>
    <mergeCell ref="O22:P22"/>
    <mergeCell ref="Q22:R22"/>
    <mergeCell ref="AW21:AX21"/>
    <mergeCell ref="AY21:AZ21"/>
    <mergeCell ref="BA21:BB21"/>
    <mergeCell ref="BC21:BD21"/>
    <mergeCell ref="BE21:BF21"/>
    <mergeCell ref="BG21:BH21"/>
    <mergeCell ref="AK21:AL21"/>
    <mergeCell ref="AM21:AN21"/>
    <mergeCell ref="AO21:AP21"/>
    <mergeCell ref="AQ21:AR21"/>
    <mergeCell ref="AS21:AT21"/>
    <mergeCell ref="AU21:AV21"/>
    <mergeCell ref="Y21:Z21"/>
    <mergeCell ref="AA21:AB21"/>
    <mergeCell ref="AC21:AD21"/>
    <mergeCell ref="AE21:AF21"/>
    <mergeCell ref="AG21:AH21"/>
    <mergeCell ref="AI21:AJ21"/>
    <mergeCell ref="BO20:BP20"/>
    <mergeCell ref="B21:G21"/>
    <mergeCell ref="H21:J21"/>
    <mergeCell ref="K21:L21"/>
    <mergeCell ref="M21:N21"/>
    <mergeCell ref="O21:P21"/>
    <mergeCell ref="Q21:R21"/>
    <mergeCell ref="S21:T21"/>
    <mergeCell ref="U21:V21"/>
    <mergeCell ref="W21:X21"/>
    <mergeCell ref="BC20:BD20"/>
    <mergeCell ref="BE20:BF20"/>
    <mergeCell ref="BG20:BH20"/>
    <mergeCell ref="BI20:BJ20"/>
    <mergeCell ref="BK20:BL20"/>
    <mergeCell ref="BM20:BN20"/>
    <mergeCell ref="AQ20:AR20"/>
    <mergeCell ref="AS20:AT20"/>
    <mergeCell ref="AU20:AV20"/>
    <mergeCell ref="AW20:AX20"/>
    <mergeCell ref="AY20:AZ20"/>
    <mergeCell ref="BA20:BB20"/>
    <mergeCell ref="AE20:AF20"/>
    <mergeCell ref="AG20:AH20"/>
    <mergeCell ref="AI20:AJ20"/>
    <mergeCell ref="AK20:AL20"/>
    <mergeCell ref="AM20:AN20"/>
    <mergeCell ref="AO20:AP20"/>
    <mergeCell ref="S20:T20"/>
    <mergeCell ref="U20:V20"/>
    <mergeCell ref="W20:X20"/>
    <mergeCell ref="Y20:Z20"/>
    <mergeCell ref="AA20:AB20"/>
    <mergeCell ref="AC20:AD20"/>
    <mergeCell ref="BI19:BJ19"/>
    <mergeCell ref="BK19:BL19"/>
    <mergeCell ref="BM19:BN19"/>
    <mergeCell ref="BO19:BP19"/>
    <mergeCell ref="B20:G20"/>
    <mergeCell ref="H20:J20"/>
    <mergeCell ref="K20:L20"/>
    <mergeCell ref="M20:N20"/>
    <mergeCell ref="O20:P20"/>
    <mergeCell ref="Q20:R20"/>
    <mergeCell ref="AW19:AX19"/>
    <mergeCell ref="AY19:AZ19"/>
    <mergeCell ref="BA19:BB19"/>
    <mergeCell ref="BC19:BD19"/>
    <mergeCell ref="BE19:BF19"/>
    <mergeCell ref="BG19:BH19"/>
    <mergeCell ref="AK19:AL19"/>
    <mergeCell ref="AM19:AN19"/>
    <mergeCell ref="AO19:AP19"/>
    <mergeCell ref="AQ19:AR19"/>
    <mergeCell ref="AS19:AT19"/>
    <mergeCell ref="AU19:AV19"/>
    <mergeCell ref="Y19:Z19"/>
    <mergeCell ref="AA19:AB19"/>
    <mergeCell ref="AC19:AD19"/>
    <mergeCell ref="AE19:AF19"/>
    <mergeCell ref="AG19:AH19"/>
    <mergeCell ref="AI19:AJ19"/>
    <mergeCell ref="BO18:BP18"/>
    <mergeCell ref="B19:G19"/>
    <mergeCell ref="H19:J19"/>
    <mergeCell ref="K19:L19"/>
    <mergeCell ref="M19:N19"/>
    <mergeCell ref="O19:P19"/>
    <mergeCell ref="Q19:R19"/>
    <mergeCell ref="S19:T19"/>
    <mergeCell ref="U19:V19"/>
    <mergeCell ref="W19:X19"/>
    <mergeCell ref="BC18:BD18"/>
    <mergeCell ref="BE18:BF18"/>
    <mergeCell ref="BG18:BH18"/>
    <mergeCell ref="BI18:BJ18"/>
    <mergeCell ref="BK18:BL18"/>
    <mergeCell ref="BM18:BN18"/>
    <mergeCell ref="AQ18:AR18"/>
    <mergeCell ref="AS18:AT18"/>
    <mergeCell ref="AU18:AV18"/>
    <mergeCell ref="AW18:AX18"/>
    <mergeCell ref="AY18:AZ18"/>
    <mergeCell ref="BA18:BB18"/>
    <mergeCell ref="AE18:AF18"/>
    <mergeCell ref="AG18:AH18"/>
    <mergeCell ref="AI18:AJ18"/>
    <mergeCell ref="AK18:AL18"/>
    <mergeCell ref="AM18:AN18"/>
    <mergeCell ref="AO18:AP18"/>
    <mergeCell ref="S18:T18"/>
    <mergeCell ref="U18:V18"/>
    <mergeCell ref="W18:X18"/>
    <mergeCell ref="Y18:Z18"/>
    <mergeCell ref="AA18:AB18"/>
    <mergeCell ref="AC18:AD18"/>
    <mergeCell ref="BI17:BJ17"/>
    <mergeCell ref="BK17:BL17"/>
    <mergeCell ref="BM17:BN17"/>
    <mergeCell ref="BO17:BP17"/>
    <mergeCell ref="B18:G18"/>
    <mergeCell ref="H18:J18"/>
    <mergeCell ref="K18:L18"/>
    <mergeCell ref="M18:N18"/>
    <mergeCell ref="O18:P18"/>
    <mergeCell ref="Q18:R18"/>
    <mergeCell ref="AW17:AX17"/>
    <mergeCell ref="AY17:AZ17"/>
    <mergeCell ref="BA17:BB17"/>
    <mergeCell ref="BC17:BD17"/>
    <mergeCell ref="BE17:BF17"/>
    <mergeCell ref="BG17:BH17"/>
    <mergeCell ref="AK17:AL17"/>
    <mergeCell ref="AM17:AN17"/>
    <mergeCell ref="AO17:AP17"/>
    <mergeCell ref="AQ17:AR17"/>
    <mergeCell ref="AS17:AT17"/>
    <mergeCell ref="AU17:AV17"/>
    <mergeCell ref="Y17:Z17"/>
    <mergeCell ref="AA17:AB17"/>
    <mergeCell ref="AC17:AD17"/>
    <mergeCell ref="AE17:AF17"/>
    <mergeCell ref="AG17:AH17"/>
    <mergeCell ref="AI17:AJ17"/>
    <mergeCell ref="BO16:BP16"/>
    <mergeCell ref="B17:G17"/>
    <mergeCell ref="H17:J17"/>
    <mergeCell ref="K17:L17"/>
    <mergeCell ref="M17:N17"/>
    <mergeCell ref="O17:P17"/>
    <mergeCell ref="Q17:R17"/>
    <mergeCell ref="S17:T17"/>
    <mergeCell ref="U17:V17"/>
    <mergeCell ref="W17:X17"/>
    <mergeCell ref="BC16:BD16"/>
    <mergeCell ref="BE16:BF16"/>
    <mergeCell ref="BG16:BH16"/>
    <mergeCell ref="BI16:BJ16"/>
    <mergeCell ref="BK16:BL16"/>
    <mergeCell ref="BM16:BN16"/>
    <mergeCell ref="AQ16:AR16"/>
    <mergeCell ref="AS16:AT16"/>
    <mergeCell ref="AU16:AV16"/>
    <mergeCell ref="AW16:AX16"/>
    <mergeCell ref="AY16:AZ16"/>
    <mergeCell ref="BA16:BB16"/>
    <mergeCell ref="AE16:AF16"/>
    <mergeCell ref="AG16:AH16"/>
    <mergeCell ref="AI16:AJ16"/>
    <mergeCell ref="AK16:AL16"/>
    <mergeCell ref="AM16:AN16"/>
    <mergeCell ref="AO16:AP16"/>
    <mergeCell ref="S16:T16"/>
    <mergeCell ref="U16:V16"/>
    <mergeCell ref="W16:X16"/>
    <mergeCell ref="Y16:Z16"/>
    <mergeCell ref="AA16:AB16"/>
    <mergeCell ref="AC16:AD16"/>
    <mergeCell ref="BI15:BJ15"/>
    <mergeCell ref="BK15:BL15"/>
    <mergeCell ref="BM15:BN15"/>
    <mergeCell ref="BO15:BP15"/>
    <mergeCell ref="B16:G16"/>
    <mergeCell ref="H16:J16"/>
    <mergeCell ref="K16:L16"/>
    <mergeCell ref="M16:N16"/>
    <mergeCell ref="O16:P16"/>
    <mergeCell ref="Q16:R16"/>
    <mergeCell ref="AW15:AX15"/>
    <mergeCell ref="AY15:AZ15"/>
    <mergeCell ref="BA15:BB15"/>
    <mergeCell ref="BC15:BD15"/>
    <mergeCell ref="BE15:BF15"/>
    <mergeCell ref="BG15:BH15"/>
    <mergeCell ref="AK15:AL15"/>
    <mergeCell ref="AM15:AN15"/>
    <mergeCell ref="AO15:AP15"/>
    <mergeCell ref="AQ15:AR15"/>
    <mergeCell ref="AS15:AT15"/>
    <mergeCell ref="AU15:AV15"/>
    <mergeCell ref="Y15:Z15"/>
    <mergeCell ref="AA15:AB15"/>
    <mergeCell ref="AC15:AD15"/>
    <mergeCell ref="AE15:AF15"/>
    <mergeCell ref="AG15:AH15"/>
    <mergeCell ref="AI15:AJ15"/>
    <mergeCell ref="BO14:BP14"/>
    <mergeCell ref="B15:G15"/>
    <mergeCell ref="H15:J15"/>
    <mergeCell ref="K15:L15"/>
    <mergeCell ref="M15:N15"/>
    <mergeCell ref="O15:P15"/>
    <mergeCell ref="Q15:R15"/>
    <mergeCell ref="S15:T15"/>
    <mergeCell ref="U15:V15"/>
    <mergeCell ref="W15:X15"/>
    <mergeCell ref="BC14:BD14"/>
    <mergeCell ref="BE14:BF14"/>
    <mergeCell ref="BG14:BH14"/>
    <mergeCell ref="BI14:BJ14"/>
    <mergeCell ref="BK14:BL14"/>
    <mergeCell ref="BM14:BN14"/>
    <mergeCell ref="AQ14:AR14"/>
    <mergeCell ref="AS14:AT14"/>
    <mergeCell ref="AU14:AV14"/>
    <mergeCell ref="AW14:AX14"/>
    <mergeCell ref="AY14:AZ14"/>
    <mergeCell ref="BA14:BB14"/>
    <mergeCell ref="AE14:AF14"/>
    <mergeCell ref="AG14:AH14"/>
    <mergeCell ref="AI14:AJ14"/>
    <mergeCell ref="AK14:AL14"/>
    <mergeCell ref="AM14:AN14"/>
    <mergeCell ref="AO14:AP14"/>
    <mergeCell ref="S14:T14"/>
    <mergeCell ref="U14:V14"/>
    <mergeCell ref="W14:X14"/>
    <mergeCell ref="Y14:Z14"/>
    <mergeCell ref="AA14:AB14"/>
    <mergeCell ref="AC14:AD14"/>
    <mergeCell ref="BI13:BJ13"/>
    <mergeCell ref="BK13:BL13"/>
    <mergeCell ref="BM13:BN13"/>
    <mergeCell ref="BO13:BP13"/>
    <mergeCell ref="B14:G14"/>
    <mergeCell ref="H14:J14"/>
    <mergeCell ref="K14:L14"/>
    <mergeCell ref="M14:N14"/>
    <mergeCell ref="O14:P14"/>
    <mergeCell ref="Q14:R14"/>
    <mergeCell ref="AW13:AX13"/>
    <mergeCell ref="AY13:AZ13"/>
    <mergeCell ref="BA13:BB13"/>
    <mergeCell ref="BC13:BD13"/>
    <mergeCell ref="BE13:BF13"/>
    <mergeCell ref="BG13:BH13"/>
    <mergeCell ref="AK13:AL13"/>
    <mergeCell ref="AM13:AN13"/>
    <mergeCell ref="AO13:AP13"/>
    <mergeCell ref="AQ13:AR13"/>
    <mergeCell ref="AS13:AT13"/>
    <mergeCell ref="AU13:AV13"/>
    <mergeCell ref="Y13:Z13"/>
    <mergeCell ref="AA13:AB13"/>
    <mergeCell ref="AC13:AD13"/>
    <mergeCell ref="AE13:AF13"/>
    <mergeCell ref="AG13:AH13"/>
    <mergeCell ref="AI13:AJ13"/>
    <mergeCell ref="BO12:BP12"/>
    <mergeCell ref="B13:G13"/>
    <mergeCell ref="H13:J13"/>
    <mergeCell ref="K13:L13"/>
    <mergeCell ref="M13:N13"/>
    <mergeCell ref="O13:P13"/>
    <mergeCell ref="Q13:R13"/>
    <mergeCell ref="S13:T13"/>
    <mergeCell ref="U13:V13"/>
    <mergeCell ref="W13:X13"/>
    <mergeCell ref="BC12:BD12"/>
    <mergeCell ref="BE12:BF12"/>
    <mergeCell ref="BG12:BH12"/>
    <mergeCell ref="BI12:BJ12"/>
    <mergeCell ref="BK12:BL12"/>
    <mergeCell ref="BM12:BN12"/>
    <mergeCell ref="AQ12:AR12"/>
    <mergeCell ref="AS12:AT12"/>
    <mergeCell ref="AU12:AV12"/>
    <mergeCell ref="AW12:AX12"/>
    <mergeCell ref="AY12:AZ12"/>
    <mergeCell ref="BA12:BB12"/>
    <mergeCell ref="AE12:AF12"/>
    <mergeCell ref="AG12:AH12"/>
    <mergeCell ref="AI12:AJ12"/>
    <mergeCell ref="AK12:AL12"/>
    <mergeCell ref="AM12:AN12"/>
    <mergeCell ref="AO12:AP12"/>
    <mergeCell ref="S12:T12"/>
    <mergeCell ref="U12:V12"/>
    <mergeCell ref="W12:X12"/>
    <mergeCell ref="Y12:Z12"/>
    <mergeCell ref="AA12:AB12"/>
    <mergeCell ref="AC12:AD12"/>
    <mergeCell ref="BI11:BJ11"/>
    <mergeCell ref="BK11:BL11"/>
    <mergeCell ref="BM11:BN11"/>
    <mergeCell ref="BO11:BP11"/>
    <mergeCell ref="B12:G12"/>
    <mergeCell ref="H12:J12"/>
    <mergeCell ref="K12:L12"/>
    <mergeCell ref="M12:N12"/>
    <mergeCell ref="O12:P12"/>
    <mergeCell ref="Q12:R12"/>
    <mergeCell ref="AW11:AX11"/>
    <mergeCell ref="AY11:AZ11"/>
    <mergeCell ref="BA11:BB11"/>
    <mergeCell ref="BC11:BD11"/>
    <mergeCell ref="BE11:BF11"/>
    <mergeCell ref="BG11:BH11"/>
    <mergeCell ref="AK11:AL11"/>
    <mergeCell ref="AM11:AN11"/>
    <mergeCell ref="AO11:AP11"/>
    <mergeCell ref="AQ11:AR11"/>
    <mergeCell ref="AS11:AT11"/>
    <mergeCell ref="AU11:AV11"/>
    <mergeCell ref="Y11:Z11"/>
    <mergeCell ref="AA11:AB11"/>
    <mergeCell ref="AC11:AD11"/>
    <mergeCell ref="AE11:AF11"/>
    <mergeCell ref="AG11:AH11"/>
    <mergeCell ref="AI11:AJ11"/>
    <mergeCell ref="BO10:BP10"/>
    <mergeCell ref="B11:G11"/>
    <mergeCell ref="H11:J11"/>
    <mergeCell ref="K11:L11"/>
    <mergeCell ref="M11:N11"/>
    <mergeCell ref="O11:P11"/>
    <mergeCell ref="Q11:R11"/>
    <mergeCell ref="S11:T11"/>
    <mergeCell ref="U11:V11"/>
    <mergeCell ref="W11:X11"/>
    <mergeCell ref="BC10:BD10"/>
    <mergeCell ref="BE10:BF10"/>
    <mergeCell ref="BG10:BH10"/>
    <mergeCell ref="BI10:BJ10"/>
    <mergeCell ref="BK10:BL10"/>
    <mergeCell ref="BM10:BN10"/>
    <mergeCell ref="AQ10:AR10"/>
    <mergeCell ref="AS10:AT10"/>
    <mergeCell ref="AU10:AV10"/>
    <mergeCell ref="AW10:AX10"/>
    <mergeCell ref="AY10:AZ10"/>
    <mergeCell ref="BA10:BB10"/>
    <mergeCell ref="AE10:AF10"/>
    <mergeCell ref="AG10:AH10"/>
    <mergeCell ref="AI10:AJ10"/>
    <mergeCell ref="AK10:AL10"/>
    <mergeCell ref="AM10:AN10"/>
    <mergeCell ref="AO10:AP10"/>
    <mergeCell ref="S10:T10"/>
    <mergeCell ref="U10:V10"/>
    <mergeCell ref="W10:X10"/>
    <mergeCell ref="Y10:Z10"/>
    <mergeCell ref="AA10:AB10"/>
    <mergeCell ref="AC10:AD10"/>
    <mergeCell ref="BI9:BJ9"/>
    <mergeCell ref="BK9:BL9"/>
    <mergeCell ref="BM9:BN9"/>
    <mergeCell ref="BO9:BP9"/>
    <mergeCell ref="B10:G10"/>
    <mergeCell ref="H10:J10"/>
    <mergeCell ref="K10:L10"/>
    <mergeCell ref="M10:N10"/>
    <mergeCell ref="O10:P10"/>
    <mergeCell ref="Q10:R10"/>
    <mergeCell ref="AW9:AX9"/>
    <mergeCell ref="AY9:AZ9"/>
    <mergeCell ref="BA9:BB9"/>
    <mergeCell ref="BC9:BD9"/>
    <mergeCell ref="BE9:BF9"/>
    <mergeCell ref="BG9:BH9"/>
    <mergeCell ref="AK9:AL9"/>
    <mergeCell ref="AM9:AN9"/>
    <mergeCell ref="AO9:AP9"/>
    <mergeCell ref="AQ9:AR9"/>
    <mergeCell ref="AS9:AT9"/>
    <mergeCell ref="AU9:AV9"/>
    <mergeCell ref="Y9:Z9"/>
    <mergeCell ref="AA9:AB9"/>
    <mergeCell ref="AC9:AD9"/>
    <mergeCell ref="AE9:AF9"/>
    <mergeCell ref="AG9:AH9"/>
    <mergeCell ref="AI9:AJ9"/>
    <mergeCell ref="BO8:BP8"/>
    <mergeCell ref="B9:G9"/>
    <mergeCell ref="H9:J9"/>
    <mergeCell ref="K9:L9"/>
    <mergeCell ref="M9:N9"/>
    <mergeCell ref="O9:P9"/>
    <mergeCell ref="Q9:R9"/>
    <mergeCell ref="S9:T9"/>
    <mergeCell ref="U9:V9"/>
    <mergeCell ref="W9:X9"/>
    <mergeCell ref="BC8:BD8"/>
    <mergeCell ref="BE8:BF8"/>
    <mergeCell ref="BG8:BH8"/>
    <mergeCell ref="BI8:BJ8"/>
    <mergeCell ref="BK8:BL8"/>
    <mergeCell ref="BM8:BN8"/>
    <mergeCell ref="AQ8:AR8"/>
    <mergeCell ref="AS8:AT8"/>
    <mergeCell ref="AU8:AV8"/>
    <mergeCell ref="AW8:AX8"/>
    <mergeCell ref="AY8:AZ8"/>
    <mergeCell ref="BA8:BB8"/>
    <mergeCell ref="AE8:AF8"/>
    <mergeCell ref="AG8:AH8"/>
    <mergeCell ref="AI8:AJ8"/>
    <mergeCell ref="AK8:AL8"/>
    <mergeCell ref="AM8:AN8"/>
    <mergeCell ref="AO8:AP8"/>
    <mergeCell ref="S8:T8"/>
    <mergeCell ref="U8:V8"/>
    <mergeCell ref="W8:X8"/>
    <mergeCell ref="Y8:Z8"/>
    <mergeCell ref="AA8:AB8"/>
    <mergeCell ref="AC8:AD8"/>
    <mergeCell ref="BI7:BJ7"/>
    <mergeCell ref="BK7:BL7"/>
    <mergeCell ref="BM7:BN7"/>
    <mergeCell ref="BO7:BP7"/>
    <mergeCell ref="B8:G8"/>
    <mergeCell ref="H8:J8"/>
    <mergeCell ref="K8:L8"/>
    <mergeCell ref="M8:N8"/>
    <mergeCell ref="O8:P8"/>
    <mergeCell ref="Q8:R8"/>
    <mergeCell ref="AW7:AX7"/>
    <mergeCell ref="AY7:AZ7"/>
    <mergeCell ref="BA7:BB7"/>
    <mergeCell ref="BC7:BD7"/>
    <mergeCell ref="BE7:BF7"/>
    <mergeCell ref="BG7:BH7"/>
    <mergeCell ref="AK7:AL7"/>
    <mergeCell ref="AM7:AN7"/>
    <mergeCell ref="AO7:AP7"/>
    <mergeCell ref="AQ7:AR7"/>
    <mergeCell ref="AS7:AT7"/>
    <mergeCell ref="AU7:AV7"/>
    <mergeCell ref="Y7:Z7"/>
    <mergeCell ref="AA7:AB7"/>
    <mergeCell ref="AC7:AD7"/>
    <mergeCell ref="AE7:AF7"/>
    <mergeCell ref="AG7:AH7"/>
    <mergeCell ref="AI7:AJ7"/>
    <mergeCell ref="BO6:BP6"/>
    <mergeCell ref="B7:G7"/>
    <mergeCell ref="H7:J7"/>
    <mergeCell ref="K7:L7"/>
    <mergeCell ref="M7:N7"/>
    <mergeCell ref="O7:P7"/>
    <mergeCell ref="Q7:R7"/>
    <mergeCell ref="S7:T7"/>
    <mergeCell ref="U7:V7"/>
    <mergeCell ref="W7:X7"/>
    <mergeCell ref="BC6:BD6"/>
    <mergeCell ref="BE6:BF6"/>
    <mergeCell ref="BG6:BH6"/>
    <mergeCell ref="BI6:BJ6"/>
    <mergeCell ref="BK6:BL6"/>
    <mergeCell ref="BM6:BN6"/>
    <mergeCell ref="AQ6:AR6"/>
    <mergeCell ref="AS6:AT6"/>
    <mergeCell ref="AU6:AV6"/>
    <mergeCell ref="AW6:AX6"/>
    <mergeCell ref="AY6:AZ6"/>
    <mergeCell ref="BA6:BB6"/>
    <mergeCell ref="AE6:AF6"/>
    <mergeCell ref="AG6:AH6"/>
    <mergeCell ref="AI6:AJ6"/>
    <mergeCell ref="AK6:AL6"/>
    <mergeCell ref="AM6:AN6"/>
    <mergeCell ref="AO6:AP6"/>
    <mergeCell ref="S6:T6"/>
    <mergeCell ref="U6:V6"/>
    <mergeCell ref="W6:X6"/>
    <mergeCell ref="Y6:Z6"/>
    <mergeCell ref="AA6:AB6"/>
    <mergeCell ref="AC6:AD6"/>
    <mergeCell ref="B6:G6"/>
    <mergeCell ref="H6:J6"/>
    <mergeCell ref="K6:L6"/>
    <mergeCell ref="M6:N6"/>
    <mergeCell ref="O6:P6"/>
    <mergeCell ref="Q6:R6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4"/>
  <sheetViews>
    <sheetView workbookViewId="0"/>
  </sheetViews>
  <sheetFormatPr defaultColWidth="5.625" defaultRowHeight="12"/>
  <cols>
    <col min="1" max="7" width="5.625" style="141"/>
    <col min="8" max="8" width="5.75" style="141" bestFit="1" customWidth="1"/>
    <col min="9" max="9" width="5.875" style="141" bestFit="1" customWidth="1"/>
    <col min="10" max="10" width="5.625" style="141"/>
    <col min="11" max="11" width="6.75" style="141" bestFit="1" customWidth="1"/>
    <col min="12" max="15" width="5.625" style="141"/>
    <col min="16" max="16" width="6.75" style="141" customWidth="1"/>
    <col min="17" max="17" width="5.625" style="141"/>
    <col min="18" max="18" width="6.75" style="141" bestFit="1" customWidth="1"/>
    <col min="19" max="19" width="5.625" style="141"/>
    <col min="20" max="20" width="5.75" style="141" bestFit="1" customWidth="1"/>
    <col min="21" max="263" width="5.625" style="141"/>
    <col min="264" max="264" width="5.75" style="141" bestFit="1" customWidth="1"/>
    <col min="265" max="265" width="5.875" style="141" bestFit="1" customWidth="1"/>
    <col min="266" max="266" width="5.625" style="141"/>
    <col min="267" max="267" width="6.75" style="141" bestFit="1" customWidth="1"/>
    <col min="268" max="271" width="5.625" style="141"/>
    <col min="272" max="272" width="6.75" style="141" customWidth="1"/>
    <col min="273" max="273" width="5.625" style="141"/>
    <col min="274" max="274" width="6.75" style="141" bestFit="1" customWidth="1"/>
    <col min="275" max="275" width="5.625" style="141"/>
    <col min="276" max="276" width="5.75" style="141" bestFit="1" customWidth="1"/>
    <col min="277" max="519" width="5.625" style="141"/>
    <col min="520" max="520" width="5.75" style="141" bestFit="1" customWidth="1"/>
    <col min="521" max="521" width="5.875" style="141" bestFit="1" customWidth="1"/>
    <col min="522" max="522" width="5.625" style="141"/>
    <col min="523" max="523" width="6.75" style="141" bestFit="1" customWidth="1"/>
    <col min="524" max="527" width="5.625" style="141"/>
    <col min="528" max="528" width="6.75" style="141" customWidth="1"/>
    <col min="529" max="529" width="5.625" style="141"/>
    <col min="530" max="530" width="6.75" style="141" bestFit="1" customWidth="1"/>
    <col min="531" max="531" width="5.625" style="141"/>
    <col min="532" max="532" width="5.75" style="141" bestFit="1" customWidth="1"/>
    <col min="533" max="775" width="5.625" style="141"/>
    <col min="776" max="776" width="5.75" style="141" bestFit="1" customWidth="1"/>
    <col min="777" max="777" width="5.875" style="141" bestFit="1" customWidth="1"/>
    <col min="778" max="778" width="5.625" style="141"/>
    <col min="779" max="779" width="6.75" style="141" bestFit="1" customWidth="1"/>
    <col min="780" max="783" width="5.625" style="141"/>
    <col min="784" max="784" width="6.75" style="141" customWidth="1"/>
    <col min="785" max="785" width="5.625" style="141"/>
    <col min="786" max="786" width="6.75" style="141" bestFit="1" customWidth="1"/>
    <col min="787" max="787" width="5.625" style="141"/>
    <col min="788" max="788" width="5.75" style="141" bestFit="1" customWidth="1"/>
    <col min="789" max="1031" width="5.625" style="141"/>
    <col min="1032" max="1032" width="5.75" style="141" bestFit="1" customWidth="1"/>
    <col min="1033" max="1033" width="5.875" style="141" bestFit="1" customWidth="1"/>
    <col min="1034" max="1034" width="5.625" style="141"/>
    <col min="1035" max="1035" width="6.75" style="141" bestFit="1" customWidth="1"/>
    <col min="1036" max="1039" width="5.625" style="141"/>
    <col min="1040" max="1040" width="6.75" style="141" customWidth="1"/>
    <col min="1041" max="1041" width="5.625" style="141"/>
    <col min="1042" max="1042" width="6.75" style="141" bestFit="1" customWidth="1"/>
    <col min="1043" max="1043" width="5.625" style="141"/>
    <col min="1044" max="1044" width="5.75" style="141" bestFit="1" customWidth="1"/>
    <col min="1045" max="1287" width="5.625" style="141"/>
    <col min="1288" max="1288" width="5.75" style="141" bestFit="1" customWidth="1"/>
    <col min="1289" max="1289" width="5.875" style="141" bestFit="1" customWidth="1"/>
    <col min="1290" max="1290" width="5.625" style="141"/>
    <col min="1291" max="1291" width="6.75" style="141" bestFit="1" customWidth="1"/>
    <col min="1292" max="1295" width="5.625" style="141"/>
    <col min="1296" max="1296" width="6.75" style="141" customWidth="1"/>
    <col min="1297" max="1297" width="5.625" style="141"/>
    <col min="1298" max="1298" width="6.75" style="141" bestFit="1" customWidth="1"/>
    <col min="1299" max="1299" width="5.625" style="141"/>
    <col min="1300" max="1300" width="5.75" style="141" bestFit="1" customWidth="1"/>
    <col min="1301" max="1543" width="5.625" style="141"/>
    <col min="1544" max="1544" width="5.75" style="141" bestFit="1" customWidth="1"/>
    <col min="1545" max="1545" width="5.875" style="141" bestFit="1" customWidth="1"/>
    <col min="1546" max="1546" width="5.625" style="141"/>
    <col min="1547" max="1547" width="6.75" style="141" bestFit="1" customWidth="1"/>
    <col min="1548" max="1551" width="5.625" style="141"/>
    <col min="1552" max="1552" width="6.75" style="141" customWidth="1"/>
    <col min="1553" max="1553" width="5.625" style="141"/>
    <col min="1554" max="1554" width="6.75" style="141" bestFit="1" customWidth="1"/>
    <col min="1555" max="1555" width="5.625" style="141"/>
    <col min="1556" max="1556" width="5.75" style="141" bestFit="1" customWidth="1"/>
    <col min="1557" max="1799" width="5.625" style="141"/>
    <col min="1800" max="1800" width="5.75" style="141" bestFit="1" customWidth="1"/>
    <col min="1801" max="1801" width="5.875" style="141" bestFit="1" customWidth="1"/>
    <col min="1802" max="1802" width="5.625" style="141"/>
    <col min="1803" max="1803" width="6.75" style="141" bestFit="1" customWidth="1"/>
    <col min="1804" max="1807" width="5.625" style="141"/>
    <col min="1808" max="1808" width="6.75" style="141" customWidth="1"/>
    <col min="1809" max="1809" width="5.625" style="141"/>
    <col min="1810" max="1810" width="6.75" style="141" bestFit="1" customWidth="1"/>
    <col min="1811" max="1811" width="5.625" style="141"/>
    <col min="1812" max="1812" width="5.75" style="141" bestFit="1" customWidth="1"/>
    <col min="1813" max="2055" width="5.625" style="141"/>
    <col min="2056" max="2056" width="5.75" style="141" bestFit="1" customWidth="1"/>
    <col min="2057" max="2057" width="5.875" style="141" bestFit="1" customWidth="1"/>
    <col min="2058" max="2058" width="5.625" style="141"/>
    <col min="2059" max="2059" width="6.75" style="141" bestFit="1" customWidth="1"/>
    <col min="2060" max="2063" width="5.625" style="141"/>
    <col min="2064" max="2064" width="6.75" style="141" customWidth="1"/>
    <col min="2065" max="2065" width="5.625" style="141"/>
    <col min="2066" max="2066" width="6.75" style="141" bestFit="1" customWidth="1"/>
    <col min="2067" max="2067" width="5.625" style="141"/>
    <col min="2068" max="2068" width="5.75" style="141" bestFit="1" customWidth="1"/>
    <col min="2069" max="2311" width="5.625" style="141"/>
    <col min="2312" max="2312" width="5.75" style="141" bestFit="1" customWidth="1"/>
    <col min="2313" max="2313" width="5.875" style="141" bestFit="1" customWidth="1"/>
    <col min="2314" max="2314" width="5.625" style="141"/>
    <col min="2315" max="2315" width="6.75" style="141" bestFit="1" customWidth="1"/>
    <col min="2316" max="2319" width="5.625" style="141"/>
    <col min="2320" max="2320" width="6.75" style="141" customWidth="1"/>
    <col min="2321" max="2321" width="5.625" style="141"/>
    <col min="2322" max="2322" width="6.75" style="141" bestFit="1" customWidth="1"/>
    <col min="2323" max="2323" width="5.625" style="141"/>
    <col min="2324" max="2324" width="5.75" style="141" bestFit="1" customWidth="1"/>
    <col min="2325" max="2567" width="5.625" style="141"/>
    <col min="2568" max="2568" width="5.75" style="141" bestFit="1" customWidth="1"/>
    <col min="2569" max="2569" width="5.875" style="141" bestFit="1" customWidth="1"/>
    <col min="2570" max="2570" width="5.625" style="141"/>
    <col min="2571" max="2571" width="6.75" style="141" bestFit="1" customWidth="1"/>
    <col min="2572" max="2575" width="5.625" style="141"/>
    <col min="2576" max="2576" width="6.75" style="141" customWidth="1"/>
    <col min="2577" max="2577" width="5.625" style="141"/>
    <col min="2578" max="2578" width="6.75" style="141" bestFit="1" customWidth="1"/>
    <col min="2579" max="2579" width="5.625" style="141"/>
    <col min="2580" max="2580" width="5.75" style="141" bestFit="1" customWidth="1"/>
    <col min="2581" max="2823" width="5.625" style="141"/>
    <col min="2824" max="2824" width="5.75" style="141" bestFit="1" customWidth="1"/>
    <col min="2825" max="2825" width="5.875" style="141" bestFit="1" customWidth="1"/>
    <col min="2826" max="2826" width="5.625" style="141"/>
    <col min="2827" max="2827" width="6.75" style="141" bestFit="1" customWidth="1"/>
    <col min="2828" max="2831" width="5.625" style="141"/>
    <col min="2832" max="2832" width="6.75" style="141" customWidth="1"/>
    <col min="2833" max="2833" width="5.625" style="141"/>
    <col min="2834" max="2834" width="6.75" style="141" bestFit="1" customWidth="1"/>
    <col min="2835" max="2835" width="5.625" style="141"/>
    <col min="2836" max="2836" width="5.75" style="141" bestFit="1" customWidth="1"/>
    <col min="2837" max="3079" width="5.625" style="141"/>
    <col min="3080" max="3080" width="5.75" style="141" bestFit="1" customWidth="1"/>
    <col min="3081" max="3081" width="5.875" style="141" bestFit="1" customWidth="1"/>
    <col min="3082" max="3082" width="5.625" style="141"/>
    <col min="3083" max="3083" width="6.75" style="141" bestFit="1" customWidth="1"/>
    <col min="3084" max="3087" width="5.625" style="141"/>
    <col min="3088" max="3088" width="6.75" style="141" customWidth="1"/>
    <col min="3089" max="3089" width="5.625" style="141"/>
    <col min="3090" max="3090" width="6.75" style="141" bestFit="1" customWidth="1"/>
    <col min="3091" max="3091" width="5.625" style="141"/>
    <col min="3092" max="3092" width="5.75" style="141" bestFit="1" customWidth="1"/>
    <col min="3093" max="3335" width="5.625" style="141"/>
    <col min="3336" max="3336" width="5.75" style="141" bestFit="1" customWidth="1"/>
    <col min="3337" max="3337" width="5.875" style="141" bestFit="1" customWidth="1"/>
    <col min="3338" max="3338" width="5.625" style="141"/>
    <col min="3339" max="3339" width="6.75" style="141" bestFit="1" customWidth="1"/>
    <col min="3340" max="3343" width="5.625" style="141"/>
    <col min="3344" max="3344" width="6.75" style="141" customWidth="1"/>
    <col min="3345" max="3345" width="5.625" style="141"/>
    <col min="3346" max="3346" width="6.75" style="141" bestFit="1" customWidth="1"/>
    <col min="3347" max="3347" width="5.625" style="141"/>
    <col min="3348" max="3348" width="5.75" style="141" bestFit="1" customWidth="1"/>
    <col min="3349" max="3591" width="5.625" style="141"/>
    <col min="3592" max="3592" width="5.75" style="141" bestFit="1" customWidth="1"/>
    <col min="3593" max="3593" width="5.875" style="141" bestFit="1" customWidth="1"/>
    <col min="3594" max="3594" width="5.625" style="141"/>
    <col min="3595" max="3595" width="6.75" style="141" bestFit="1" customWidth="1"/>
    <col min="3596" max="3599" width="5.625" style="141"/>
    <col min="3600" max="3600" width="6.75" style="141" customWidth="1"/>
    <col min="3601" max="3601" width="5.625" style="141"/>
    <col min="3602" max="3602" width="6.75" style="141" bestFit="1" customWidth="1"/>
    <col min="3603" max="3603" width="5.625" style="141"/>
    <col min="3604" max="3604" width="5.75" style="141" bestFit="1" customWidth="1"/>
    <col min="3605" max="3847" width="5.625" style="141"/>
    <col min="3848" max="3848" width="5.75" style="141" bestFit="1" customWidth="1"/>
    <col min="3849" max="3849" width="5.875" style="141" bestFit="1" customWidth="1"/>
    <col min="3850" max="3850" width="5.625" style="141"/>
    <col min="3851" max="3851" width="6.75" style="141" bestFit="1" customWidth="1"/>
    <col min="3852" max="3855" width="5.625" style="141"/>
    <col min="3856" max="3856" width="6.75" style="141" customWidth="1"/>
    <col min="3857" max="3857" width="5.625" style="141"/>
    <col min="3858" max="3858" width="6.75" style="141" bestFit="1" customWidth="1"/>
    <col min="3859" max="3859" width="5.625" style="141"/>
    <col min="3860" max="3860" width="5.75" style="141" bestFit="1" customWidth="1"/>
    <col min="3861" max="4103" width="5.625" style="141"/>
    <col min="4104" max="4104" width="5.75" style="141" bestFit="1" customWidth="1"/>
    <col min="4105" max="4105" width="5.875" style="141" bestFit="1" customWidth="1"/>
    <col min="4106" max="4106" width="5.625" style="141"/>
    <col min="4107" max="4107" width="6.75" style="141" bestFit="1" customWidth="1"/>
    <col min="4108" max="4111" width="5.625" style="141"/>
    <col min="4112" max="4112" width="6.75" style="141" customWidth="1"/>
    <col min="4113" max="4113" width="5.625" style="141"/>
    <col min="4114" max="4114" width="6.75" style="141" bestFit="1" customWidth="1"/>
    <col min="4115" max="4115" width="5.625" style="141"/>
    <col min="4116" max="4116" width="5.75" style="141" bestFit="1" customWidth="1"/>
    <col min="4117" max="4359" width="5.625" style="141"/>
    <col min="4360" max="4360" width="5.75" style="141" bestFit="1" customWidth="1"/>
    <col min="4361" max="4361" width="5.875" style="141" bestFit="1" customWidth="1"/>
    <col min="4362" max="4362" width="5.625" style="141"/>
    <col min="4363" max="4363" width="6.75" style="141" bestFit="1" customWidth="1"/>
    <col min="4364" max="4367" width="5.625" style="141"/>
    <col min="4368" max="4368" width="6.75" style="141" customWidth="1"/>
    <col min="4369" max="4369" width="5.625" style="141"/>
    <col min="4370" max="4370" width="6.75" style="141" bestFit="1" customWidth="1"/>
    <col min="4371" max="4371" width="5.625" style="141"/>
    <col min="4372" max="4372" width="5.75" style="141" bestFit="1" customWidth="1"/>
    <col min="4373" max="4615" width="5.625" style="141"/>
    <col min="4616" max="4616" width="5.75" style="141" bestFit="1" customWidth="1"/>
    <col min="4617" max="4617" width="5.875" style="141" bestFit="1" customWidth="1"/>
    <col min="4618" max="4618" width="5.625" style="141"/>
    <col min="4619" max="4619" width="6.75" style="141" bestFit="1" customWidth="1"/>
    <col min="4620" max="4623" width="5.625" style="141"/>
    <col min="4624" max="4624" width="6.75" style="141" customWidth="1"/>
    <col min="4625" max="4625" width="5.625" style="141"/>
    <col min="4626" max="4626" width="6.75" style="141" bestFit="1" customWidth="1"/>
    <col min="4627" max="4627" width="5.625" style="141"/>
    <col min="4628" max="4628" width="5.75" style="141" bestFit="1" customWidth="1"/>
    <col min="4629" max="4871" width="5.625" style="141"/>
    <col min="4872" max="4872" width="5.75" style="141" bestFit="1" customWidth="1"/>
    <col min="4873" max="4873" width="5.875" style="141" bestFit="1" customWidth="1"/>
    <col min="4874" max="4874" width="5.625" style="141"/>
    <col min="4875" max="4875" width="6.75" style="141" bestFit="1" customWidth="1"/>
    <col min="4876" max="4879" width="5.625" style="141"/>
    <col min="4880" max="4880" width="6.75" style="141" customWidth="1"/>
    <col min="4881" max="4881" width="5.625" style="141"/>
    <col min="4882" max="4882" width="6.75" style="141" bestFit="1" customWidth="1"/>
    <col min="4883" max="4883" width="5.625" style="141"/>
    <col min="4884" max="4884" width="5.75" style="141" bestFit="1" customWidth="1"/>
    <col min="4885" max="5127" width="5.625" style="141"/>
    <col min="5128" max="5128" width="5.75" style="141" bestFit="1" customWidth="1"/>
    <col min="5129" max="5129" width="5.875" style="141" bestFit="1" customWidth="1"/>
    <col min="5130" max="5130" width="5.625" style="141"/>
    <col min="5131" max="5131" width="6.75" style="141" bestFit="1" customWidth="1"/>
    <col min="5132" max="5135" width="5.625" style="141"/>
    <col min="5136" max="5136" width="6.75" style="141" customWidth="1"/>
    <col min="5137" max="5137" width="5.625" style="141"/>
    <col min="5138" max="5138" width="6.75" style="141" bestFit="1" customWidth="1"/>
    <col min="5139" max="5139" width="5.625" style="141"/>
    <col min="5140" max="5140" width="5.75" style="141" bestFit="1" customWidth="1"/>
    <col min="5141" max="5383" width="5.625" style="141"/>
    <col min="5384" max="5384" width="5.75" style="141" bestFit="1" customWidth="1"/>
    <col min="5385" max="5385" width="5.875" style="141" bestFit="1" customWidth="1"/>
    <col min="5386" max="5386" width="5.625" style="141"/>
    <col min="5387" max="5387" width="6.75" style="141" bestFit="1" customWidth="1"/>
    <col min="5388" max="5391" width="5.625" style="141"/>
    <col min="5392" max="5392" width="6.75" style="141" customWidth="1"/>
    <col min="5393" max="5393" width="5.625" style="141"/>
    <col min="5394" max="5394" width="6.75" style="141" bestFit="1" customWidth="1"/>
    <col min="5395" max="5395" width="5.625" style="141"/>
    <col min="5396" max="5396" width="5.75" style="141" bestFit="1" customWidth="1"/>
    <col min="5397" max="5639" width="5.625" style="141"/>
    <col min="5640" max="5640" width="5.75" style="141" bestFit="1" customWidth="1"/>
    <col min="5641" max="5641" width="5.875" style="141" bestFit="1" customWidth="1"/>
    <col min="5642" max="5642" width="5.625" style="141"/>
    <col min="5643" max="5643" width="6.75" style="141" bestFit="1" customWidth="1"/>
    <col min="5644" max="5647" width="5.625" style="141"/>
    <col min="5648" max="5648" width="6.75" style="141" customWidth="1"/>
    <col min="5649" max="5649" width="5.625" style="141"/>
    <col min="5650" max="5650" width="6.75" style="141" bestFit="1" customWidth="1"/>
    <col min="5651" max="5651" width="5.625" style="141"/>
    <col min="5652" max="5652" width="5.75" style="141" bestFit="1" customWidth="1"/>
    <col min="5653" max="5895" width="5.625" style="141"/>
    <col min="5896" max="5896" width="5.75" style="141" bestFit="1" customWidth="1"/>
    <col min="5897" max="5897" width="5.875" style="141" bestFit="1" customWidth="1"/>
    <col min="5898" max="5898" width="5.625" style="141"/>
    <col min="5899" max="5899" width="6.75" style="141" bestFit="1" customWidth="1"/>
    <col min="5900" max="5903" width="5.625" style="141"/>
    <col min="5904" max="5904" width="6.75" style="141" customWidth="1"/>
    <col min="5905" max="5905" width="5.625" style="141"/>
    <col min="5906" max="5906" width="6.75" style="141" bestFit="1" customWidth="1"/>
    <col min="5907" max="5907" width="5.625" style="141"/>
    <col min="5908" max="5908" width="5.75" style="141" bestFit="1" customWidth="1"/>
    <col min="5909" max="6151" width="5.625" style="141"/>
    <col min="6152" max="6152" width="5.75" style="141" bestFit="1" customWidth="1"/>
    <col min="6153" max="6153" width="5.875" style="141" bestFit="1" customWidth="1"/>
    <col min="6154" max="6154" width="5.625" style="141"/>
    <col min="6155" max="6155" width="6.75" style="141" bestFit="1" customWidth="1"/>
    <col min="6156" max="6159" width="5.625" style="141"/>
    <col min="6160" max="6160" width="6.75" style="141" customWidth="1"/>
    <col min="6161" max="6161" width="5.625" style="141"/>
    <col min="6162" max="6162" width="6.75" style="141" bestFit="1" customWidth="1"/>
    <col min="6163" max="6163" width="5.625" style="141"/>
    <col min="6164" max="6164" width="5.75" style="141" bestFit="1" customWidth="1"/>
    <col min="6165" max="6407" width="5.625" style="141"/>
    <col min="6408" max="6408" width="5.75" style="141" bestFit="1" customWidth="1"/>
    <col min="6409" max="6409" width="5.875" style="141" bestFit="1" customWidth="1"/>
    <col min="6410" max="6410" width="5.625" style="141"/>
    <col min="6411" max="6411" width="6.75" style="141" bestFit="1" customWidth="1"/>
    <col min="6412" max="6415" width="5.625" style="141"/>
    <col min="6416" max="6416" width="6.75" style="141" customWidth="1"/>
    <col min="6417" max="6417" width="5.625" style="141"/>
    <col min="6418" max="6418" width="6.75" style="141" bestFit="1" customWidth="1"/>
    <col min="6419" max="6419" width="5.625" style="141"/>
    <col min="6420" max="6420" width="5.75" style="141" bestFit="1" customWidth="1"/>
    <col min="6421" max="6663" width="5.625" style="141"/>
    <col min="6664" max="6664" width="5.75" style="141" bestFit="1" customWidth="1"/>
    <col min="6665" max="6665" width="5.875" style="141" bestFit="1" customWidth="1"/>
    <col min="6666" max="6666" width="5.625" style="141"/>
    <col min="6667" max="6667" width="6.75" style="141" bestFit="1" customWidth="1"/>
    <col min="6668" max="6671" width="5.625" style="141"/>
    <col min="6672" max="6672" width="6.75" style="141" customWidth="1"/>
    <col min="6673" max="6673" width="5.625" style="141"/>
    <col min="6674" max="6674" width="6.75" style="141" bestFit="1" customWidth="1"/>
    <col min="6675" max="6675" width="5.625" style="141"/>
    <col min="6676" max="6676" width="5.75" style="141" bestFit="1" customWidth="1"/>
    <col min="6677" max="6919" width="5.625" style="141"/>
    <col min="6920" max="6920" width="5.75" style="141" bestFit="1" customWidth="1"/>
    <col min="6921" max="6921" width="5.875" style="141" bestFit="1" customWidth="1"/>
    <col min="6922" max="6922" width="5.625" style="141"/>
    <col min="6923" max="6923" width="6.75" style="141" bestFit="1" customWidth="1"/>
    <col min="6924" max="6927" width="5.625" style="141"/>
    <col min="6928" max="6928" width="6.75" style="141" customWidth="1"/>
    <col min="6929" max="6929" width="5.625" style="141"/>
    <col min="6930" max="6930" width="6.75" style="141" bestFit="1" customWidth="1"/>
    <col min="6931" max="6931" width="5.625" style="141"/>
    <col min="6932" max="6932" width="5.75" style="141" bestFit="1" customWidth="1"/>
    <col min="6933" max="7175" width="5.625" style="141"/>
    <col min="7176" max="7176" width="5.75" style="141" bestFit="1" customWidth="1"/>
    <col min="7177" max="7177" width="5.875" style="141" bestFit="1" customWidth="1"/>
    <col min="7178" max="7178" width="5.625" style="141"/>
    <col min="7179" max="7179" width="6.75" style="141" bestFit="1" customWidth="1"/>
    <col min="7180" max="7183" width="5.625" style="141"/>
    <col min="7184" max="7184" width="6.75" style="141" customWidth="1"/>
    <col min="7185" max="7185" width="5.625" style="141"/>
    <col min="7186" max="7186" width="6.75" style="141" bestFit="1" customWidth="1"/>
    <col min="7187" max="7187" width="5.625" style="141"/>
    <col min="7188" max="7188" width="5.75" style="141" bestFit="1" customWidth="1"/>
    <col min="7189" max="7431" width="5.625" style="141"/>
    <col min="7432" max="7432" width="5.75" style="141" bestFit="1" customWidth="1"/>
    <col min="7433" max="7433" width="5.875" style="141" bestFit="1" customWidth="1"/>
    <col min="7434" max="7434" width="5.625" style="141"/>
    <col min="7435" max="7435" width="6.75" style="141" bestFit="1" customWidth="1"/>
    <col min="7436" max="7439" width="5.625" style="141"/>
    <col min="7440" max="7440" width="6.75" style="141" customWidth="1"/>
    <col min="7441" max="7441" width="5.625" style="141"/>
    <col min="7442" max="7442" width="6.75" style="141" bestFit="1" customWidth="1"/>
    <col min="7443" max="7443" width="5.625" style="141"/>
    <col min="7444" max="7444" width="5.75" style="141" bestFit="1" customWidth="1"/>
    <col min="7445" max="7687" width="5.625" style="141"/>
    <col min="7688" max="7688" width="5.75" style="141" bestFit="1" customWidth="1"/>
    <col min="7689" max="7689" width="5.875" style="141" bestFit="1" customWidth="1"/>
    <col min="7690" max="7690" width="5.625" style="141"/>
    <col min="7691" max="7691" width="6.75" style="141" bestFit="1" customWidth="1"/>
    <col min="7692" max="7695" width="5.625" style="141"/>
    <col min="7696" max="7696" width="6.75" style="141" customWidth="1"/>
    <col min="7697" max="7697" width="5.625" style="141"/>
    <col min="7698" max="7698" width="6.75" style="141" bestFit="1" customWidth="1"/>
    <col min="7699" max="7699" width="5.625" style="141"/>
    <col min="7700" max="7700" width="5.75" style="141" bestFit="1" customWidth="1"/>
    <col min="7701" max="7943" width="5.625" style="141"/>
    <col min="7944" max="7944" width="5.75" style="141" bestFit="1" customWidth="1"/>
    <col min="7945" max="7945" width="5.875" style="141" bestFit="1" customWidth="1"/>
    <col min="7946" max="7946" width="5.625" style="141"/>
    <col min="7947" max="7947" width="6.75" style="141" bestFit="1" customWidth="1"/>
    <col min="7948" max="7951" width="5.625" style="141"/>
    <col min="7952" max="7952" width="6.75" style="141" customWidth="1"/>
    <col min="7953" max="7953" width="5.625" style="141"/>
    <col min="7954" max="7954" width="6.75" style="141" bestFit="1" customWidth="1"/>
    <col min="7955" max="7955" width="5.625" style="141"/>
    <col min="7956" max="7956" width="5.75" style="141" bestFit="1" customWidth="1"/>
    <col min="7957" max="8199" width="5.625" style="141"/>
    <col min="8200" max="8200" width="5.75" style="141" bestFit="1" customWidth="1"/>
    <col min="8201" max="8201" width="5.875" style="141" bestFit="1" customWidth="1"/>
    <col min="8202" max="8202" width="5.625" style="141"/>
    <col min="8203" max="8203" width="6.75" style="141" bestFit="1" customWidth="1"/>
    <col min="8204" max="8207" width="5.625" style="141"/>
    <col min="8208" max="8208" width="6.75" style="141" customWidth="1"/>
    <col min="8209" max="8209" width="5.625" style="141"/>
    <col min="8210" max="8210" width="6.75" style="141" bestFit="1" customWidth="1"/>
    <col min="8211" max="8211" width="5.625" style="141"/>
    <col min="8212" max="8212" width="5.75" style="141" bestFit="1" customWidth="1"/>
    <col min="8213" max="8455" width="5.625" style="141"/>
    <col min="8456" max="8456" width="5.75" style="141" bestFit="1" customWidth="1"/>
    <col min="8457" max="8457" width="5.875" style="141" bestFit="1" customWidth="1"/>
    <col min="8458" max="8458" width="5.625" style="141"/>
    <col min="8459" max="8459" width="6.75" style="141" bestFit="1" customWidth="1"/>
    <col min="8460" max="8463" width="5.625" style="141"/>
    <col min="8464" max="8464" width="6.75" style="141" customWidth="1"/>
    <col min="8465" max="8465" width="5.625" style="141"/>
    <col min="8466" max="8466" width="6.75" style="141" bestFit="1" customWidth="1"/>
    <col min="8467" max="8467" width="5.625" style="141"/>
    <col min="8468" max="8468" width="5.75" style="141" bestFit="1" customWidth="1"/>
    <col min="8469" max="8711" width="5.625" style="141"/>
    <col min="8712" max="8712" width="5.75" style="141" bestFit="1" customWidth="1"/>
    <col min="8713" max="8713" width="5.875" style="141" bestFit="1" customWidth="1"/>
    <col min="8714" max="8714" width="5.625" style="141"/>
    <col min="8715" max="8715" width="6.75" style="141" bestFit="1" customWidth="1"/>
    <col min="8716" max="8719" width="5.625" style="141"/>
    <col min="8720" max="8720" width="6.75" style="141" customWidth="1"/>
    <col min="8721" max="8721" width="5.625" style="141"/>
    <col min="8722" max="8722" width="6.75" style="141" bestFit="1" customWidth="1"/>
    <col min="8723" max="8723" width="5.625" style="141"/>
    <col min="8724" max="8724" width="5.75" style="141" bestFit="1" customWidth="1"/>
    <col min="8725" max="8967" width="5.625" style="141"/>
    <col min="8968" max="8968" width="5.75" style="141" bestFit="1" customWidth="1"/>
    <col min="8969" max="8969" width="5.875" style="141" bestFit="1" customWidth="1"/>
    <col min="8970" max="8970" width="5.625" style="141"/>
    <col min="8971" max="8971" width="6.75" style="141" bestFit="1" customWidth="1"/>
    <col min="8972" max="8975" width="5.625" style="141"/>
    <col min="8976" max="8976" width="6.75" style="141" customWidth="1"/>
    <col min="8977" max="8977" width="5.625" style="141"/>
    <col min="8978" max="8978" width="6.75" style="141" bestFit="1" customWidth="1"/>
    <col min="8979" max="8979" width="5.625" style="141"/>
    <col min="8980" max="8980" width="5.75" style="141" bestFit="1" customWidth="1"/>
    <col min="8981" max="9223" width="5.625" style="141"/>
    <col min="9224" max="9224" width="5.75" style="141" bestFit="1" customWidth="1"/>
    <col min="9225" max="9225" width="5.875" style="141" bestFit="1" customWidth="1"/>
    <col min="9226" max="9226" width="5.625" style="141"/>
    <col min="9227" max="9227" width="6.75" style="141" bestFit="1" customWidth="1"/>
    <col min="9228" max="9231" width="5.625" style="141"/>
    <col min="9232" max="9232" width="6.75" style="141" customWidth="1"/>
    <col min="9233" max="9233" width="5.625" style="141"/>
    <col min="9234" max="9234" width="6.75" style="141" bestFit="1" customWidth="1"/>
    <col min="9235" max="9235" width="5.625" style="141"/>
    <col min="9236" max="9236" width="5.75" style="141" bestFit="1" customWidth="1"/>
    <col min="9237" max="9479" width="5.625" style="141"/>
    <col min="9480" max="9480" width="5.75" style="141" bestFit="1" customWidth="1"/>
    <col min="9481" max="9481" width="5.875" style="141" bestFit="1" customWidth="1"/>
    <col min="9482" max="9482" width="5.625" style="141"/>
    <col min="9483" max="9483" width="6.75" style="141" bestFit="1" customWidth="1"/>
    <col min="9484" max="9487" width="5.625" style="141"/>
    <col min="9488" max="9488" width="6.75" style="141" customWidth="1"/>
    <col min="9489" max="9489" width="5.625" style="141"/>
    <col min="9490" max="9490" width="6.75" style="141" bestFit="1" customWidth="1"/>
    <col min="9491" max="9491" width="5.625" style="141"/>
    <col min="9492" max="9492" width="5.75" style="141" bestFit="1" customWidth="1"/>
    <col min="9493" max="9735" width="5.625" style="141"/>
    <col min="9736" max="9736" width="5.75" style="141" bestFit="1" customWidth="1"/>
    <col min="9737" max="9737" width="5.875" style="141" bestFit="1" customWidth="1"/>
    <col min="9738" max="9738" width="5.625" style="141"/>
    <col min="9739" max="9739" width="6.75" style="141" bestFit="1" customWidth="1"/>
    <col min="9740" max="9743" width="5.625" style="141"/>
    <col min="9744" max="9744" width="6.75" style="141" customWidth="1"/>
    <col min="9745" max="9745" width="5.625" style="141"/>
    <col min="9746" max="9746" width="6.75" style="141" bestFit="1" customWidth="1"/>
    <col min="9747" max="9747" width="5.625" style="141"/>
    <col min="9748" max="9748" width="5.75" style="141" bestFit="1" customWidth="1"/>
    <col min="9749" max="9991" width="5.625" style="141"/>
    <col min="9992" max="9992" width="5.75" style="141" bestFit="1" customWidth="1"/>
    <col min="9993" max="9993" width="5.875" style="141" bestFit="1" customWidth="1"/>
    <col min="9994" max="9994" width="5.625" style="141"/>
    <col min="9995" max="9995" width="6.75" style="141" bestFit="1" customWidth="1"/>
    <col min="9996" max="9999" width="5.625" style="141"/>
    <col min="10000" max="10000" width="6.75" style="141" customWidth="1"/>
    <col min="10001" max="10001" width="5.625" style="141"/>
    <col min="10002" max="10002" width="6.75" style="141" bestFit="1" customWidth="1"/>
    <col min="10003" max="10003" width="5.625" style="141"/>
    <col min="10004" max="10004" width="5.75" style="141" bestFit="1" customWidth="1"/>
    <col min="10005" max="10247" width="5.625" style="141"/>
    <col min="10248" max="10248" width="5.75" style="141" bestFit="1" customWidth="1"/>
    <col min="10249" max="10249" width="5.875" style="141" bestFit="1" customWidth="1"/>
    <col min="10250" max="10250" width="5.625" style="141"/>
    <col min="10251" max="10251" width="6.75" style="141" bestFit="1" customWidth="1"/>
    <col min="10252" max="10255" width="5.625" style="141"/>
    <col min="10256" max="10256" width="6.75" style="141" customWidth="1"/>
    <col min="10257" max="10257" width="5.625" style="141"/>
    <col min="10258" max="10258" width="6.75" style="141" bestFit="1" customWidth="1"/>
    <col min="10259" max="10259" width="5.625" style="141"/>
    <col min="10260" max="10260" width="5.75" style="141" bestFit="1" customWidth="1"/>
    <col min="10261" max="10503" width="5.625" style="141"/>
    <col min="10504" max="10504" width="5.75" style="141" bestFit="1" customWidth="1"/>
    <col min="10505" max="10505" width="5.875" style="141" bestFit="1" customWidth="1"/>
    <col min="10506" max="10506" width="5.625" style="141"/>
    <col min="10507" max="10507" width="6.75" style="141" bestFit="1" customWidth="1"/>
    <col min="10508" max="10511" width="5.625" style="141"/>
    <col min="10512" max="10512" width="6.75" style="141" customWidth="1"/>
    <col min="10513" max="10513" width="5.625" style="141"/>
    <col min="10514" max="10514" width="6.75" style="141" bestFit="1" customWidth="1"/>
    <col min="10515" max="10515" width="5.625" style="141"/>
    <col min="10516" max="10516" width="5.75" style="141" bestFit="1" customWidth="1"/>
    <col min="10517" max="10759" width="5.625" style="141"/>
    <col min="10760" max="10760" width="5.75" style="141" bestFit="1" customWidth="1"/>
    <col min="10761" max="10761" width="5.875" style="141" bestFit="1" customWidth="1"/>
    <col min="10762" max="10762" width="5.625" style="141"/>
    <col min="10763" max="10763" width="6.75" style="141" bestFit="1" customWidth="1"/>
    <col min="10764" max="10767" width="5.625" style="141"/>
    <col min="10768" max="10768" width="6.75" style="141" customWidth="1"/>
    <col min="10769" max="10769" width="5.625" style="141"/>
    <col min="10770" max="10770" width="6.75" style="141" bestFit="1" customWidth="1"/>
    <col min="10771" max="10771" width="5.625" style="141"/>
    <col min="10772" max="10772" width="5.75" style="141" bestFit="1" customWidth="1"/>
    <col min="10773" max="11015" width="5.625" style="141"/>
    <col min="11016" max="11016" width="5.75" style="141" bestFit="1" customWidth="1"/>
    <col min="11017" max="11017" width="5.875" style="141" bestFit="1" customWidth="1"/>
    <col min="11018" max="11018" width="5.625" style="141"/>
    <col min="11019" max="11019" width="6.75" style="141" bestFit="1" customWidth="1"/>
    <col min="11020" max="11023" width="5.625" style="141"/>
    <col min="11024" max="11024" width="6.75" style="141" customWidth="1"/>
    <col min="11025" max="11025" width="5.625" style="141"/>
    <col min="11026" max="11026" width="6.75" style="141" bestFit="1" customWidth="1"/>
    <col min="11027" max="11027" width="5.625" style="141"/>
    <col min="11028" max="11028" width="5.75" style="141" bestFit="1" customWidth="1"/>
    <col min="11029" max="11271" width="5.625" style="141"/>
    <col min="11272" max="11272" width="5.75" style="141" bestFit="1" customWidth="1"/>
    <col min="11273" max="11273" width="5.875" style="141" bestFit="1" customWidth="1"/>
    <col min="11274" max="11274" width="5.625" style="141"/>
    <col min="11275" max="11275" width="6.75" style="141" bestFit="1" customWidth="1"/>
    <col min="11276" max="11279" width="5.625" style="141"/>
    <col min="11280" max="11280" width="6.75" style="141" customWidth="1"/>
    <col min="11281" max="11281" width="5.625" style="141"/>
    <col min="11282" max="11282" width="6.75" style="141" bestFit="1" customWidth="1"/>
    <col min="11283" max="11283" width="5.625" style="141"/>
    <col min="11284" max="11284" width="5.75" style="141" bestFit="1" customWidth="1"/>
    <col min="11285" max="11527" width="5.625" style="141"/>
    <col min="11528" max="11528" width="5.75" style="141" bestFit="1" customWidth="1"/>
    <col min="11529" max="11529" width="5.875" style="141" bestFit="1" customWidth="1"/>
    <col min="11530" max="11530" width="5.625" style="141"/>
    <col min="11531" max="11531" width="6.75" style="141" bestFit="1" customWidth="1"/>
    <col min="11532" max="11535" width="5.625" style="141"/>
    <col min="11536" max="11536" width="6.75" style="141" customWidth="1"/>
    <col min="11537" max="11537" width="5.625" style="141"/>
    <col min="11538" max="11538" width="6.75" style="141" bestFit="1" customWidth="1"/>
    <col min="11539" max="11539" width="5.625" style="141"/>
    <col min="11540" max="11540" width="5.75" style="141" bestFit="1" customWidth="1"/>
    <col min="11541" max="11783" width="5.625" style="141"/>
    <col min="11784" max="11784" width="5.75" style="141" bestFit="1" customWidth="1"/>
    <col min="11785" max="11785" width="5.875" style="141" bestFit="1" customWidth="1"/>
    <col min="11786" max="11786" width="5.625" style="141"/>
    <col min="11787" max="11787" width="6.75" style="141" bestFit="1" customWidth="1"/>
    <col min="11788" max="11791" width="5.625" style="141"/>
    <col min="11792" max="11792" width="6.75" style="141" customWidth="1"/>
    <col min="11793" max="11793" width="5.625" style="141"/>
    <col min="11794" max="11794" width="6.75" style="141" bestFit="1" customWidth="1"/>
    <col min="11795" max="11795" width="5.625" style="141"/>
    <col min="11796" max="11796" width="5.75" style="141" bestFit="1" customWidth="1"/>
    <col min="11797" max="12039" width="5.625" style="141"/>
    <col min="12040" max="12040" width="5.75" style="141" bestFit="1" customWidth="1"/>
    <col min="12041" max="12041" width="5.875" style="141" bestFit="1" customWidth="1"/>
    <col min="12042" max="12042" width="5.625" style="141"/>
    <col min="12043" max="12043" width="6.75" style="141" bestFit="1" customWidth="1"/>
    <col min="12044" max="12047" width="5.625" style="141"/>
    <col min="12048" max="12048" width="6.75" style="141" customWidth="1"/>
    <col min="12049" max="12049" width="5.625" style="141"/>
    <col min="12050" max="12050" width="6.75" style="141" bestFit="1" customWidth="1"/>
    <col min="12051" max="12051" width="5.625" style="141"/>
    <col min="12052" max="12052" width="5.75" style="141" bestFit="1" customWidth="1"/>
    <col min="12053" max="12295" width="5.625" style="141"/>
    <col min="12296" max="12296" width="5.75" style="141" bestFit="1" customWidth="1"/>
    <col min="12297" max="12297" width="5.875" style="141" bestFit="1" customWidth="1"/>
    <col min="12298" max="12298" width="5.625" style="141"/>
    <col min="12299" max="12299" width="6.75" style="141" bestFit="1" customWidth="1"/>
    <col min="12300" max="12303" width="5.625" style="141"/>
    <col min="12304" max="12304" width="6.75" style="141" customWidth="1"/>
    <col min="12305" max="12305" width="5.625" style="141"/>
    <col min="12306" max="12306" width="6.75" style="141" bestFit="1" customWidth="1"/>
    <col min="12307" max="12307" width="5.625" style="141"/>
    <col min="12308" max="12308" width="5.75" style="141" bestFit="1" customWidth="1"/>
    <col min="12309" max="12551" width="5.625" style="141"/>
    <col min="12552" max="12552" width="5.75" style="141" bestFit="1" customWidth="1"/>
    <col min="12553" max="12553" width="5.875" style="141" bestFit="1" customWidth="1"/>
    <col min="12554" max="12554" width="5.625" style="141"/>
    <col min="12555" max="12555" width="6.75" style="141" bestFit="1" customWidth="1"/>
    <col min="12556" max="12559" width="5.625" style="141"/>
    <col min="12560" max="12560" width="6.75" style="141" customWidth="1"/>
    <col min="12561" max="12561" width="5.625" style="141"/>
    <col min="12562" max="12562" width="6.75" style="141" bestFit="1" customWidth="1"/>
    <col min="12563" max="12563" width="5.625" style="141"/>
    <col min="12564" max="12564" width="5.75" style="141" bestFit="1" customWidth="1"/>
    <col min="12565" max="12807" width="5.625" style="141"/>
    <col min="12808" max="12808" width="5.75" style="141" bestFit="1" customWidth="1"/>
    <col min="12809" max="12809" width="5.875" style="141" bestFit="1" customWidth="1"/>
    <col min="12810" max="12810" width="5.625" style="141"/>
    <col min="12811" max="12811" width="6.75" style="141" bestFit="1" customWidth="1"/>
    <col min="12812" max="12815" width="5.625" style="141"/>
    <col min="12816" max="12816" width="6.75" style="141" customWidth="1"/>
    <col min="12817" max="12817" width="5.625" style="141"/>
    <col min="12818" max="12818" width="6.75" style="141" bestFit="1" customWidth="1"/>
    <col min="12819" max="12819" width="5.625" style="141"/>
    <col min="12820" max="12820" width="5.75" style="141" bestFit="1" customWidth="1"/>
    <col min="12821" max="13063" width="5.625" style="141"/>
    <col min="13064" max="13064" width="5.75" style="141" bestFit="1" customWidth="1"/>
    <col min="13065" max="13065" width="5.875" style="141" bestFit="1" customWidth="1"/>
    <col min="13066" max="13066" width="5.625" style="141"/>
    <col min="13067" max="13067" width="6.75" style="141" bestFit="1" customWidth="1"/>
    <col min="13068" max="13071" width="5.625" style="141"/>
    <col min="13072" max="13072" width="6.75" style="141" customWidth="1"/>
    <col min="13073" max="13073" width="5.625" style="141"/>
    <col min="13074" max="13074" width="6.75" style="141" bestFit="1" customWidth="1"/>
    <col min="13075" max="13075" width="5.625" style="141"/>
    <col min="13076" max="13076" width="5.75" style="141" bestFit="1" customWidth="1"/>
    <col min="13077" max="13319" width="5.625" style="141"/>
    <col min="13320" max="13320" width="5.75" style="141" bestFit="1" customWidth="1"/>
    <col min="13321" max="13321" width="5.875" style="141" bestFit="1" customWidth="1"/>
    <col min="13322" max="13322" width="5.625" style="141"/>
    <col min="13323" max="13323" width="6.75" style="141" bestFit="1" customWidth="1"/>
    <col min="13324" max="13327" width="5.625" style="141"/>
    <col min="13328" max="13328" width="6.75" style="141" customWidth="1"/>
    <col min="13329" max="13329" width="5.625" style="141"/>
    <col min="13330" max="13330" width="6.75" style="141" bestFit="1" customWidth="1"/>
    <col min="13331" max="13331" width="5.625" style="141"/>
    <col min="13332" max="13332" width="5.75" style="141" bestFit="1" customWidth="1"/>
    <col min="13333" max="13575" width="5.625" style="141"/>
    <col min="13576" max="13576" width="5.75" style="141" bestFit="1" customWidth="1"/>
    <col min="13577" max="13577" width="5.875" style="141" bestFit="1" customWidth="1"/>
    <col min="13578" max="13578" width="5.625" style="141"/>
    <col min="13579" max="13579" width="6.75" style="141" bestFit="1" customWidth="1"/>
    <col min="13580" max="13583" width="5.625" style="141"/>
    <col min="13584" max="13584" width="6.75" style="141" customWidth="1"/>
    <col min="13585" max="13585" width="5.625" style="141"/>
    <col min="13586" max="13586" width="6.75" style="141" bestFit="1" customWidth="1"/>
    <col min="13587" max="13587" width="5.625" style="141"/>
    <col min="13588" max="13588" width="5.75" style="141" bestFit="1" customWidth="1"/>
    <col min="13589" max="13831" width="5.625" style="141"/>
    <col min="13832" max="13832" width="5.75" style="141" bestFit="1" customWidth="1"/>
    <col min="13833" max="13833" width="5.875" style="141" bestFit="1" customWidth="1"/>
    <col min="13834" max="13834" width="5.625" style="141"/>
    <col min="13835" max="13835" width="6.75" style="141" bestFit="1" customWidth="1"/>
    <col min="13836" max="13839" width="5.625" style="141"/>
    <col min="13840" max="13840" width="6.75" style="141" customWidth="1"/>
    <col min="13841" max="13841" width="5.625" style="141"/>
    <col min="13842" max="13842" width="6.75" style="141" bestFit="1" customWidth="1"/>
    <col min="13843" max="13843" width="5.625" style="141"/>
    <col min="13844" max="13844" width="5.75" style="141" bestFit="1" customWidth="1"/>
    <col min="13845" max="14087" width="5.625" style="141"/>
    <col min="14088" max="14088" width="5.75" style="141" bestFit="1" customWidth="1"/>
    <col min="14089" max="14089" width="5.875" style="141" bestFit="1" customWidth="1"/>
    <col min="14090" max="14090" width="5.625" style="141"/>
    <col min="14091" max="14091" width="6.75" style="141" bestFit="1" customWidth="1"/>
    <col min="14092" max="14095" width="5.625" style="141"/>
    <col min="14096" max="14096" width="6.75" style="141" customWidth="1"/>
    <col min="14097" max="14097" width="5.625" style="141"/>
    <col min="14098" max="14098" width="6.75" style="141" bestFit="1" customWidth="1"/>
    <col min="14099" max="14099" width="5.625" style="141"/>
    <col min="14100" max="14100" width="5.75" style="141" bestFit="1" customWidth="1"/>
    <col min="14101" max="14343" width="5.625" style="141"/>
    <col min="14344" max="14344" width="5.75" style="141" bestFit="1" customWidth="1"/>
    <col min="14345" max="14345" width="5.875" style="141" bestFit="1" customWidth="1"/>
    <col min="14346" max="14346" width="5.625" style="141"/>
    <col min="14347" max="14347" width="6.75" style="141" bestFit="1" customWidth="1"/>
    <col min="14348" max="14351" width="5.625" style="141"/>
    <col min="14352" max="14352" width="6.75" style="141" customWidth="1"/>
    <col min="14353" max="14353" width="5.625" style="141"/>
    <col min="14354" max="14354" width="6.75" style="141" bestFit="1" customWidth="1"/>
    <col min="14355" max="14355" width="5.625" style="141"/>
    <col min="14356" max="14356" width="5.75" style="141" bestFit="1" customWidth="1"/>
    <col min="14357" max="14599" width="5.625" style="141"/>
    <col min="14600" max="14600" width="5.75" style="141" bestFit="1" customWidth="1"/>
    <col min="14601" max="14601" width="5.875" style="141" bestFit="1" customWidth="1"/>
    <col min="14602" max="14602" width="5.625" style="141"/>
    <col min="14603" max="14603" width="6.75" style="141" bestFit="1" customWidth="1"/>
    <col min="14604" max="14607" width="5.625" style="141"/>
    <col min="14608" max="14608" width="6.75" style="141" customWidth="1"/>
    <col min="14609" max="14609" width="5.625" style="141"/>
    <col min="14610" max="14610" width="6.75" style="141" bestFit="1" customWidth="1"/>
    <col min="14611" max="14611" width="5.625" style="141"/>
    <col min="14612" max="14612" width="5.75" style="141" bestFit="1" customWidth="1"/>
    <col min="14613" max="14855" width="5.625" style="141"/>
    <col min="14856" max="14856" width="5.75" style="141" bestFit="1" customWidth="1"/>
    <col min="14857" max="14857" width="5.875" style="141" bestFit="1" customWidth="1"/>
    <col min="14858" max="14858" width="5.625" style="141"/>
    <col min="14859" max="14859" width="6.75" style="141" bestFit="1" customWidth="1"/>
    <col min="14860" max="14863" width="5.625" style="141"/>
    <col min="14864" max="14864" width="6.75" style="141" customWidth="1"/>
    <col min="14865" max="14865" width="5.625" style="141"/>
    <col min="14866" max="14866" width="6.75" style="141" bestFit="1" customWidth="1"/>
    <col min="14867" max="14867" width="5.625" style="141"/>
    <col min="14868" max="14868" width="5.75" style="141" bestFit="1" customWidth="1"/>
    <col min="14869" max="15111" width="5.625" style="141"/>
    <col min="15112" max="15112" width="5.75" style="141" bestFit="1" customWidth="1"/>
    <col min="15113" max="15113" width="5.875" style="141" bestFit="1" customWidth="1"/>
    <col min="15114" max="15114" width="5.625" style="141"/>
    <col min="15115" max="15115" width="6.75" style="141" bestFit="1" customWidth="1"/>
    <col min="15116" max="15119" width="5.625" style="141"/>
    <col min="15120" max="15120" width="6.75" style="141" customWidth="1"/>
    <col min="15121" max="15121" width="5.625" style="141"/>
    <col min="15122" max="15122" width="6.75" style="141" bestFit="1" customWidth="1"/>
    <col min="15123" max="15123" width="5.625" style="141"/>
    <col min="15124" max="15124" width="5.75" style="141" bestFit="1" customWidth="1"/>
    <col min="15125" max="15367" width="5.625" style="141"/>
    <col min="15368" max="15368" width="5.75" style="141" bestFit="1" customWidth="1"/>
    <col min="15369" max="15369" width="5.875" style="141" bestFit="1" customWidth="1"/>
    <col min="15370" max="15370" width="5.625" style="141"/>
    <col min="15371" max="15371" width="6.75" style="141" bestFit="1" customWidth="1"/>
    <col min="15372" max="15375" width="5.625" style="141"/>
    <col min="15376" max="15376" width="6.75" style="141" customWidth="1"/>
    <col min="15377" max="15377" width="5.625" style="141"/>
    <col min="15378" max="15378" width="6.75" style="141" bestFit="1" customWidth="1"/>
    <col min="15379" max="15379" width="5.625" style="141"/>
    <col min="15380" max="15380" width="5.75" style="141" bestFit="1" customWidth="1"/>
    <col min="15381" max="15623" width="5.625" style="141"/>
    <col min="15624" max="15624" width="5.75" style="141" bestFit="1" customWidth="1"/>
    <col min="15625" max="15625" width="5.875" style="141" bestFit="1" customWidth="1"/>
    <col min="15626" max="15626" width="5.625" style="141"/>
    <col min="15627" max="15627" width="6.75" style="141" bestFit="1" customWidth="1"/>
    <col min="15628" max="15631" width="5.625" style="141"/>
    <col min="15632" max="15632" width="6.75" style="141" customWidth="1"/>
    <col min="15633" max="15633" width="5.625" style="141"/>
    <col min="15634" max="15634" width="6.75" style="141" bestFit="1" customWidth="1"/>
    <col min="15635" max="15635" width="5.625" style="141"/>
    <col min="15636" max="15636" width="5.75" style="141" bestFit="1" customWidth="1"/>
    <col min="15637" max="15879" width="5.625" style="141"/>
    <col min="15880" max="15880" width="5.75" style="141" bestFit="1" customWidth="1"/>
    <col min="15881" max="15881" width="5.875" style="141" bestFit="1" customWidth="1"/>
    <col min="15882" max="15882" width="5.625" style="141"/>
    <col min="15883" max="15883" width="6.75" style="141" bestFit="1" customWidth="1"/>
    <col min="15884" max="15887" width="5.625" style="141"/>
    <col min="15888" max="15888" width="6.75" style="141" customWidth="1"/>
    <col min="15889" max="15889" width="5.625" style="141"/>
    <col min="15890" max="15890" width="6.75" style="141" bestFit="1" customWidth="1"/>
    <col min="15891" max="15891" width="5.625" style="141"/>
    <col min="15892" max="15892" width="5.75" style="141" bestFit="1" customWidth="1"/>
    <col min="15893" max="16135" width="5.625" style="141"/>
    <col min="16136" max="16136" width="5.75" style="141" bestFit="1" customWidth="1"/>
    <col min="16137" max="16137" width="5.875" style="141" bestFit="1" customWidth="1"/>
    <col min="16138" max="16138" width="5.625" style="141"/>
    <col min="16139" max="16139" width="6.75" style="141" bestFit="1" customWidth="1"/>
    <col min="16140" max="16143" width="5.625" style="141"/>
    <col min="16144" max="16144" width="6.75" style="141" customWidth="1"/>
    <col min="16145" max="16145" width="5.625" style="141"/>
    <col min="16146" max="16146" width="6.75" style="141" bestFit="1" customWidth="1"/>
    <col min="16147" max="16147" width="5.625" style="141"/>
    <col min="16148" max="16148" width="5.75" style="141" bestFit="1" customWidth="1"/>
    <col min="16149" max="16384" width="5.625" style="141"/>
  </cols>
  <sheetData>
    <row r="1" spans="1:17" ht="14.25" customHeight="1">
      <c r="A1" s="1" t="s">
        <v>927</v>
      </c>
    </row>
    <row r="2" spans="1:17" ht="14.25" customHeight="1"/>
    <row r="3" spans="1:17" ht="14.25" customHeight="1">
      <c r="A3" s="143" t="s">
        <v>928</v>
      </c>
      <c r="F3" s="155"/>
      <c r="G3" s="155"/>
      <c r="H3" s="155"/>
    </row>
    <row r="4" spans="1:17" ht="14.25" customHeight="1"/>
    <row r="5" spans="1:17" ht="14.25" customHeight="1">
      <c r="B5" s="143" t="s">
        <v>929</v>
      </c>
    </row>
    <row r="6" spans="1:17" ht="14.25" customHeight="1">
      <c r="B6" s="309"/>
      <c r="C6" s="309"/>
      <c r="D6" s="251" t="s">
        <v>930</v>
      </c>
      <c r="E6" s="309"/>
      <c r="F6" s="309"/>
      <c r="G6" s="353" t="s">
        <v>931</v>
      </c>
      <c r="H6" s="353" t="s">
        <v>932</v>
      </c>
      <c r="I6" s="309" t="s">
        <v>933</v>
      </c>
      <c r="J6" s="309"/>
      <c r="K6" s="309" t="s">
        <v>934</v>
      </c>
      <c r="L6" s="309"/>
      <c r="M6" s="309"/>
      <c r="N6" s="389" t="s">
        <v>935</v>
      </c>
      <c r="O6" s="390"/>
      <c r="P6" s="390"/>
      <c r="Q6" s="391"/>
    </row>
    <row r="7" spans="1:17" ht="14.25" customHeight="1">
      <c r="B7" s="392" t="s">
        <v>936</v>
      </c>
      <c r="C7" s="393"/>
      <c r="D7" s="251" t="s">
        <v>937</v>
      </c>
      <c r="E7" s="309"/>
      <c r="F7" s="309"/>
      <c r="G7" s="353" t="s">
        <v>938</v>
      </c>
      <c r="H7" s="394">
        <f>Cel工事_送出しヤード工基礎砕石工_数量計</f>
        <v>960</v>
      </c>
      <c r="I7" s="395">
        <f>Cel工事_送出しヤード工基礎砕石工_単価</f>
        <v>241</v>
      </c>
      <c r="J7" s="396"/>
      <c r="K7" s="395">
        <f>INT(Cel一覧_送出しヤード工基礎砕石工_数量 * Cel一覧_送出しヤード工基礎砕石工_単価)</f>
        <v>231360</v>
      </c>
      <c r="L7" s="395"/>
      <c r="M7" s="395"/>
      <c r="N7" s="397" t="s">
        <v>939</v>
      </c>
      <c r="O7" s="398"/>
      <c r="P7" s="398"/>
      <c r="Q7" s="399"/>
    </row>
    <row r="8" spans="1:17" ht="14.25" hidden="1" customHeight="1">
      <c r="B8" s="400"/>
      <c r="C8" s="401"/>
      <c r="D8" s="309" t="s">
        <v>940</v>
      </c>
      <c r="E8" s="309"/>
      <c r="F8" s="309"/>
      <c r="G8" s="353" t="s">
        <v>938</v>
      </c>
      <c r="H8" s="394">
        <f>Cel工事_送出しヤード工ベント基礎工_数量計</f>
        <v>0</v>
      </c>
      <c r="I8" s="395">
        <f>Cel工事_送出しヤード工ベント基礎工_単価</f>
        <v>0</v>
      </c>
      <c r="J8" s="396"/>
      <c r="K8" s="395">
        <f>INT(Cel一覧_送出しヤード工ベント基礎工_数量 * Cel一覧_送出しヤード工ベント基礎工_単価)</f>
        <v>0</v>
      </c>
      <c r="L8" s="395"/>
      <c r="M8" s="395"/>
      <c r="N8" s="397" t="s">
        <v>941</v>
      </c>
      <c r="O8" s="398"/>
      <c r="P8" s="398"/>
      <c r="Q8" s="399"/>
    </row>
    <row r="9" spans="1:17" ht="14.25" hidden="1" customHeight="1">
      <c r="B9" s="402"/>
      <c r="C9" s="403"/>
      <c r="D9" s="309" t="s">
        <v>942</v>
      </c>
      <c r="E9" s="309"/>
      <c r="F9" s="309"/>
      <c r="G9" s="353" t="s">
        <v>943</v>
      </c>
      <c r="H9" s="394">
        <f>Cel工事_送出しヤード工ベント設備工_数量計</f>
        <v>0</v>
      </c>
      <c r="I9" s="395">
        <f>Cel工事_送出しヤード工ベント設備工_単価</f>
        <v>0</v>
      </c>
      <c r="J9" s="396"/>
      <c r="K9" s="395">
        <f>INT(Cel一覧_送出しヤード工ベント設備工_数量 * Cel一覧_送出しヤード工ベント設備工_単価)</f>
        <v>0</v>
      </c>
      <c r="L9" s="395"/>
      <c r="M9" s="395"/>
      <c r="N9" s="397" t="s">
        <v>941</v>
      </c>
      <c r="O9" s="398"/>
      <c r="P9" s="398"/>
      <c r="Q9" s="399"/>
    </row>
    <row r="10" spans="1:17" ht="14.25" customHeight="1">
      <c r="B10" s="402"/>
      <c r="C10" s="403"/>
      <c r="D10" s="251" t="s">
        <v>944</v>
      </c>
      <c r="E10" s="309"/>
      <c r="F10" s="309"/>
      <c r="G10" s="353" t="s">
        <v>945</v>
      </c>
      <c r="H10" s="394">
        <f>Cel工事_送出しヤード工軌条桁工_数量計</f>
        <v>17.855999999999998</v>
      </c>
      <c r="I10" s="395">
        <f>Cel工事_送出しヤード工軌条桁工_単価</f>
        <v>176878</v>
      </c>
      <c r="J10" s="396"/>
      <c r="K10" s="395">
        <f>INT(Cel一覧_送出しヤード工軌条桁工_数量 * Cel一覧_送出しヤード工軌条桁工_単価)</f>
        <v>3158333</v>
      </c>
      <c r="L10" s="395"/>
      <c r="M10" s="395"/>
      <c r="N10" s="397" t="s">
        <v>946</v>
      </c>
      <c r="O10" s="398"/>
      <c r="P10" s="398"/>
      <c r="Q10" s="399"/>
    </row>
    <row r="11" spans="1:17" ht="14.25" customHeight="1">
      <c r="B11" s="402"/>
      <c r="C11" s="403"/>
      <c r="D11" s="251" t="s">
        <v>947</v>
      </c>
      <c r="E11" s="309"/>
      <c r="F11" s="309"/>
      <c r="G11" s="353" t="s">
        <v>948</v>
      </c>
      <c r="H11" s="394">
        <f>Cel工事_送出しヤード工軌条設備工_数量計</f>
        <v>160</v>
      </c>
      <c r="I11" s="395">
        <f>Cel工事_送出しヤード工軌条設備工_単価</f>
        <v>8400</v>
      </c>
      <c r="J11" s="396"/>
      <c r="K11" s="395">
        <f>INT(Cel一覧_送出しヤード工軌条設備工_数量 * Cel一覧_送出しヤード工軌条設備工_単価)</f>
        <v>1344000</v>
      </c>
      <c r="L11" s="395"/>
      <c r="M11" s="395"/>
      <c r="N11" s="397" t="s">
        <v>949</v>
      </c>
      <c r="O11" s="398"/>
      <c r="P11" s="398"/>
      <c r="Q11" s="399"/>
    </row>
    <row r="12" spans="1:17" ht="14.25" customHeight="1">
      <c r="B12" s="404"/>
      <c r="C12" s="405"/>
      <c r="D12" s="251" t="s">
        <v>950</v>
      </c>
      <c r="E12" s="309"/>
      <c r="F12" s="309"/>
      <c r="G12" s="353" t="s">
        <v>951</v>
      </c>
      <c r="H12" s="406">
        <v>1</v>
      </c>
      <c r="I12" s="396"/>
      <c r="J12" s="396"/>
      <c r="K12" s="395">
        <f>IF(ISERROR(N123),0,N123)</f>
        <v>431110</v>
      </c>
      <c r="L12" s="395"/>
      <c r="M12" s="395"/>
      <c r="N12" s="397" t="s">
        <v>952</v>
      </c>
      <c r="O12" s="398"/>
      <c r="P12" s="398"/>
      <c r="Q12" s="399"/>
    </row>
    <row r="13" spans="1:17" ht="14.25" customHeight="1">
      <c r="B13" s="407" t="s">
        <v>953</v>
      </c>
      <c r="C13" s="403"/>
      <c r="D13" s="312" t="s">
        <v>954</v>
      </c>
      <c r="E13" s="408"/>
      <c r="F13" s="409"/>
      <c r="G13" s="353" t="s">
        <v>945</v>
      </c>
      <c r="H13" s="394">
        <f>Cel工事_送出し設備工手延機・連結構設備工_数量計</f>
        <v>34.064999999999998</v>
      </c>
      <c r="I13" s="395">
        <f ca="1">Cel工事_送出し設備工手延機・連結構設備工_単価</f>
        <v>353718</v>
      </c>
      <c r="J13" s="396"/>
      <c r="K13" s="395">
        <f ca="1">INT(Cel一覧_送出し設備工手延機・連結構設備工_数量 * Cel一覧_送出し設備工手延機・連結構設備工_単価)</f>
        <v>12049403</v>
      </c>
      <c r="L13" s="395"/>
      <c r="M13" s="395"/>
      <c r="N13" s="397" t="s">
        <v>955</v>
      </c>
      <c r="O13" s="398"/>
      <c r="P13" s="398"/>
      <c r="Q13" s="399"/>
    </row>
    <row r="14" spans="1:17" ht="14.25" customHeight="1">
      <c r="B14" s="402"/>
      <c r="C14" s="403"/>
      <c r="D14" s="312" t="s">
        <v>956</v>
      </c>
      <c r="E14" s="408"/>
      <c r="F14" s="409"/>
      <c r="G14" s="353" t="s">
        <v>957</v>
      </c>
      <c r="H14" s="394">
        <f>Cel工事_送出し設備工台車設備工_数量計</f>
        <v>3</v>
      </c>
      <c r="I14" s="395">
        <f>Cel工事_送出し設備工台車設備工_単価</f>
        <v>757143</v>
      </c>
      <c r="J14" s="396"/>
      <c r="K14" s="395">
        <f>INT(Cel一覧_送出し設備工台車設備工_数量 * Cel一覧_送出し設備工台車設備工_単価)</f>
        <v>2271429</v>
      </c>
      <c r="L14" s="395"/>
      <c r="M14" s="395"/>
      <c r="N14" s="397" t="s">
        <v>958</v>
      </c>
      <c r="O14" s="398"/>
      <c r="P14" s="398"/>
      <c r="Q14" s="399"/>
    </row>
    <row r="15" spans="1:17" ht="14.25" customHeight="1">
      <c r="B15" s="404"/>
      <c r="C15" s="405"/>
      <c r="D15" s="312" t="s">
        <v>959</v>
      </c>
      <c r="E15" s="408"/>
      <c r="F15" s="409"/>
      <c r="G15" s="353" t="s">
        <v>960</v>
      </c>
      <c r="H15" s="394">
        <f>Cel工事_送出し設備工送出し装置設備工_数量計</f>
        <v>4</v>
      </c>
      <c r="I15" s="395">
        <f>Cel工事_送出し設備工送出し装置設備工_単価</f>
        <v>6108249</v>
      </c>
      <c r="J15" s="396"/>
      <c r="K15" s="395">
        <f>INT(Cel一覧_送出し設備工送出し装置設備工_数量 * Cel一覧_送出し設備工送出し装置設備工_単価)</f>
        <v>24432996</v>
      </c>
      <c r="L15" s="395"/>
      <c r="M15" s="395"/>
      <c r="N15" s="397" t="s">
        <v>961</v>
      </c>
      <c r="O15" s="398"/>
      <c r="P15" s="398"/>
      <c r="Q15" s="399"/>
    </row>
    <row r="16" spans="1:17" ht="14.25" hidden="1" customHeight="1">
      <c r="B16" s="392" t="s">
        <v>962</v>
      </c>
      <c r="C16" s="393"/>
      <c r="D16" s="312" t="s">
        <v>963</v>
      </c>
      <c r="E16" s="408"/>
      <c r="F16" s="409"/>
      <c r="G16" s="353" t="s">
        <v>951</v>
      </c>
      <c r="H16" s="406">
        <v>1</v>
      </c>
      <c r="I16" s="396"/>
      <c r="J16" s="396"/>
      <c r="K16" s="395">
        <f>IF(ISERROR(N185),0,N185)</f>
        <v>0</v>
      </c>
      <c r="L16" s="395"/>
      <c r="M16" s="395"/>
      <c r="N16" s="397" t="s">
        <v>941</v>
      </c>
      <c r="O16" s="398"/>
      <c r="P16" s="398"/>
      <c r="Q16" s="399"/>
    </row>
    <row r="17" spans="2:20" ht="14.25" customHeight="1">
      <c r="B17" s="410" t="s">
        <v>964</v>
      </c>
      <c r="C17" s="411"/>
      <c r="D17" s="411"/>
      <c r="E17" s="411"/>
      <c r="F17" s="412"/>
      <c r="G17" s="353" t="s">
        <v>965</v>
      </c>
      <c r="H17" s="394">
        <f>Cel工事_送出し設備工降下設備工_数量計</f>
        <v>8.7200000000000006</v>
      </c>
      <c r="I17" s="395">
        <f>Cel工事_送出し設備工降下設備工_単価</f>
        <v>850875</v>
      </c>
      <c r="J17" s="396"/>
      <c r="K17" s="395">
        <f>INT(Cel一覧_送出し設備工降下設備工_数量 * Cel一覧_送出し設備工降下設備工_単価)</f>
        <v>7419630</v>
      </c>
      <c r="L17" s="395"/>
      <c r="M17" s="395"/>
      <c r="N17" s="397" t="s">
        <v>966</v>
      </c>
      <c r="O17" s="398"/>
      <c r="P17" s="398"/>
      <c r="Q17" s="399"/>
    </row>
    <row r="18" spans="2:20" ht="14.25" customHeight="1">
      <c r="B18" s="413" t="s">
        <v>967</v>
      </c>
      <c r="C18" s="414"/>
      <c r="D18" s="414"/>
      <c r="E18" s="414"/>
      <c r="F18" s="415"/>
      <c r="G18" s="353" t="s">
        <v>951</v>
      </c>
      <c r="H18" s="406">
        <v>1</v>
      </c>
      <c r="I18" s="396"/>
      <c r="J18" s="396"/>
      <c r="K18" s="395">
        <f ca="1">IF(ISERROR(N215),0,N215)</f>
        <v>11574720.699999999</v>
      </c>
      <c r="L18" s="395"/>
      <c r="M18" s="395"/>
      <c r="N18" s="397" t="s">
        <v>968</v>
      </c>
      <c r="O18" s="398"/>
      <c r="P18" s="398"/>
      <c r="Q18" s="399"/>
    </row>
    <row r="19" spans="2:20" ht="14.25" customHeight="1">
      <c r="B19" s="416" t="s">
        <v>969</v>
      </c>
      <c r="C19" s="417"/>
      <c r="D19" s="417"/>
      <c r="E19" s="417"/>
      <c r="F19" s="418"/>
      <c r="G19" s="353" t="s">
        <v>951</v>
      </c>
      <c r="H19" s="406">
        <v>1</v>
      </c>
      <c r="I19" s="419"/>
      <c r="J19" s="420"/>
      <c r="K19" s="395">
        <f>IF(ISERROR(N229),0,N229)</f>
        <v>7843953.4000000004</v>
      </c>
      <c r="L19" s="395"/>
      <c r="M19" s="395"/>
      <c r="N19" s="397" t="s">
        <v>970</v>
      </c>
      <c r="O19" s="398"/>
      <c r="P19" s="398"/>
      <c r="Q19" s="399"/>
    </row>
    <row r="20" spans="2:20" ht="14.25" customHeight="1">
      <c r="B20" s="407" t="s">
        <v>971</v>
      </c>
      <c r="C20" s="403"/>
      <c r="D20" s="251" t="s">
        <v>972</v>
      </c>
      <c r="E20" s="309"/>
      <c r="F20" s="309"/>
      <c r="G20" s="353" t="s">
        <v>965</v>
      </c>
      <c r="H20" s="394">
        <f>Cel工事_桁架設工主桁組立工_数量計</f>
        <v>443.8</v>
      </c>
      <c r="I20" s="395">
        <f ca="1">Cel工事_桁架設工主桁組立工_単価</f>
        <v>14379</v>
      </c>
      <c r="J20" s="396"/>
      <c r="K20" s="395">
        <f ca="1">INT(Cel一覧_桁架設工主桁組立工_数量 * Cel一覧_桁架設工主桁組立工_単価)</f>
        <v>6381400</v>
      </c>
      <c r="L20" s="395"/>
      <c r="M20" s="395"/>
      <c r="N20" s="397" t="s">
        <v>973</v>
      </c>
      <c r="O20" s="398"/>
      <c r="P20" s="398"/>
      <c r="Q20" s="399"/>
    </row>
    <row r="21" spans="2:20" ht="14.25" customHeight="1">
      <c r="B21" s="402"/>
      <c r="C21" s="403"/>
      <c r="D21" s="251" t="s">
        <v>974</v>
      </c>
      <c r="E21" s="309"/>
      <c r="F21" s="309"/>
      <c r="G21" s="353" t="s">
        <v>948</v>
      </c>
      <c r="H21" s="394">
        <f>Cel工事_桁架設工主桁送出し工_数量計</f>
        <v>168.9</v>
      </c>
      <c r="I21" s="395">
        <f>Cel工事_桁架設工主桁送出し工_単価</f>
        <v>48190</v>
      </c>
      <c r="J21" s="396"/>
      <c r="K21" s="395">
        <f>INT(Cel一覧_桁架設工主桁送出し工_数量 * Cel一覧_桁架設工主桁送出し工_単価)</f>
        <v>8139291</v>
      </c>
      <c r="L21" s="395"/>
      <c r="M21" s="395"/>
      <c r="N21" s="397" t="s">
        <v>975</v>
      </c>
      <c r="O21" s="398"/>
      <c r="P21" s="398"/>
      <c r="Q21" s="399"/>
    </row>
    <row r="22" spans="2:20" ht="14.25" customHeight="1">
      <c r="B22" s="402"/>
      <c r="C22" s="403"/>
      <c r="D22" s="251" t="s">
        <v>976</v>
      </c>
      <c r="E22" s="309"/>
      <c r="F22" s="309"/>
      <c r="G22" s="353" t="s">
        <v>948</v>
      </c>
      <c r="H22" s="394">
        <f>Cel工事_桁架設工主桁降下工_数量計</f>
        <v>1</v>
      </c>
      <c r="I22" s="395">
        <f>Cel工事_桁架設工主桁降下工_単価</f>
        <v>873028</v>
      </c>
      <c r="J22" s="396"/>
      <c r="K22" s="395">
        <f>INT(Cel一覧_桁架設工主桁降下工_数量 * Cel一覧_桁架設工主桁降下工_単価)</f>
        <v>873028</v>
      </c>
      <c r="L22" s="395"/>
      <c r="M22" s="395"/>
      <c r="N22" s="397" t="s">
        <v>977</v>
      </c>
      <c r="O22" s="398"/>
      <c r="P22" s="398"/>
      <c r="Q22" s="399"/>
    </row>
    <row r="23" spans="2:20" ht="14.25" hidden="1" customHeight="1">
      <c r="B23" s="402"/>
      <c r="C23" s="403"/>
      <c r="D23" s="251" t="s">
        <v>978</v>
      </c>
      <c r="E23" s="309"/>
      <c r="F23" s="309"/>
      <c r="G23" s="353" t="s">
        <v>979</v>
      </c>
      <c r="H23" s="394">
        <f>Cel工事_桁架設工主桁横取り工_数量計</f>
        <v>0</v>
      </c>
      <c r="I23" s="395">
        <f>Cel工事_桁架設工主桁横取り工_単価</f>
        <v>0</v>
      </c>
      <c r="J23" s="396"/>
      <c r="K23" s="395">
        <f>INT(Cel一覧_桁架設工主桁横取り工_数量 * Cel一覧_桁架設工主桁横取り工_単価)</f>
        <v>0</v>
      </c>
      <c r="L23" s="395"/>
      <c r="M23" s="395"/>
      <c r="N23" s="397" t="s">
        <v>941</v>
      </c>
      <c r="O23" s="398"/>
      <c r="P23" s="398"/>
      <c r="Q23" s="399"/>
    </row>
    <row r="24" spans="2:20" ht="14.25" hidden="1" customHeight="1">
      <c r="B24" s="404"/>
      <c r="C24" s="405"/>
      <c r="D24" s="251" t="s">
        <v>980</v>
      </c>
      <c r="E24" s="309"/>
      <c r="F24" s="309"/>
      <c r="G24" s="353" t="s">
        <v>965</v>
      </c>
      <c r="H24" s="394">
        <f>Cel工事_桁架設工横桁組立工_数量計</f>
        <v>0</v>
      </c>
      <c r="I24" s="395">
        <f>Cel工事_桁架設工横桁組立工_単価</f>
        <v>0</v>
      </c>
      <c r="J24" s="396"/>
      <c r="K24" s="395">
        <f>INT(Cel一覧_桁架設工横桁組立工_数量 * Cel一覧_桁架設工横桁組立工_単価)</f>
        <v>0</v>
      </c>
      <c r="L24" s="395"/>
      <c r="M24" s="395"/>
      <c r="N24" s="397" t="s">
        <v>941</v>
      </c>
      <c r="O24" s="398"/>
      <c r="P24" s="398"/>
      <c r="Q24" s="399"/>
    </row>
    <row r="25" spans="2:20" ht="14.25" customHeight="1">
      <c r="B25" s="416" t="s">
        <v>981</v>
      </c>
      <c r="C25" s="417"/>
      <c r="D25" s="417"/>
      <c r="E25" s="417"/>
      <c r="F25" s="418"/>
      <c r="G25" s="353" t="s">
        <v>951</v>
      </c>
      <c r="H25" s="421">
        <v>1</v>
      </c>
      <c r="I25" s="395">
        <f ca="1">Cel一覧_重機分解組立運搬費_金額計</f>
        <v>1256479.07</v>
      </c>
      <c r="J25" s="396"/>
      <c r="K25" s="395">
        <f ca="1">Cel一覧_重機分解組立運搬費_数量 * Cel一覧_重機分解組立運搬費_単価</f>
        <v>1256479.07</v>
      </c>
      <c r="L25" s="395"/>
      <c r="M25" s="395"/>
      <c r="N25" s="397" t="s">
        <v>982</v>
      </c>
      <c r="O25" s="398"/>
      <c r="P25" s="398"/>
      <c r="Q25" s="399"/>
    </row>
    <row r="26" spans="2:20" ht="14.25" customHeight="1">
      <c r="B26" s="416" t="s">
        <v>983</v>
      </c>
      <c r="C26" s="417"/>
      <c r="D26" s="417"/>
      <c r="E26" s="417"/>
      <c r="F26" s="418"/>
      <c r="G26" s="353" t="s">
        <v>948</v>
      </c>
      <c r="H26" s="394">
        <f>Cel工事_現場継手部溶接工_数量計</f>
        <v>117</v>
      </c>
      <c r="I26" s="395">
        <f>Cel工事_現場継手部溶接工_単価</f>
        <v>90343</v>
      </c>
      <c r="J26" s="396"/>
      <c r="K26" s="395">
        <f>INT(Cel一覧_現場継手部溶接工_数量 * Cel一覧_現場継手部溶接工_単価)</f>
        <v>10570131</v>
      </c>
      <c r="L26" s="395"/>
      <c r="M26" s="395"/>
      <c r="N26" s="397" t="s">
        <v>984</v>
      </c>
      <c r="O26" s="398"/>
      <c r="P26" s="398"/>
      <c r="Q26" s="399"/>
    </row>
    <row r="27" spans="2:20" ht="14.25" customHeight="1">
      <c r="B27" s="416" t="s">
        <v>985</v>
      </c>
      <c r="C27" s="417"/>
      <c r="D27" s="417"/>
      <c r="E27" s="417"/>
      <c r="F27" s="418"/>
      <c r="G27" s="353" t="s">
        <v>951</v>
      </c>
      <c r="H27" s="406">
        <v>1</v>
      </c>
      <c r="I27" s="396"/>
      <c r="J27" s="396"/>
      <c r="K27" s="395">
        <f>IF(ISERROR(N372),0,N372)</f>
        <v>3360470</v>
      </c>
      <c r="L27" s="395"/>
      <c r="M27" s="395"/>
      <c r="N27" s="397" t="s">
        <v>986</v>
      </c>
      <c r="O27" s="398"/>
      <c r="P27" s="398"/>
      <c r="Q27" s="399"/>
    </row>
    <row r="28" spans="2:20" ht="14.25" customHeight="1">
      <c r="B28" s="416" t="s">
        <v>987</v>
      </c>
      <c r="C28" s="422"/>
      <c r="D28" s="422"/>
      <c r="E28" s="422"/>
      <c r="F28" s="423"/>
      <c r="G28" s="353" t="s">
        <v>988</v>
      </c>
      <c r="H28" s="394">
        <f>Cel工事_沓据付工_数量計</f>
        <v>4</v>
      </c>
      <c r="I28" s="395">
        <f>Cel工事_沓据付工_単価</f>
        <v>250779</v>
      </c>
      <c r="J28" s="396"/>
      <c r="K28" s="395">
        <f>INT(Cel一覧_沓据付工_数量 * Cel一覧_沓据付工_単価)</f>
        <v>1003116</v>
      </c>
      <c r="L28" s="395"/>
      <c r="M28" s="395"/>
      <c r="N28" s="397" t="s">
        <v>989</v>
      </c>
      <c r="O28" s="398"/>
      <c r="P28" s="398"/>
      <c r="Q28" s="399"/>
    </row>
    <row r="29" spans="2:20" ht="14.25" customHeight="1">
      <c r="B29" s="424" t="s">
        <v>990</v>
      </c>
      <c r="C29" s="422"/>
      <c r="D29" s="422"/>
      <c r="E29" s="422"/>
      <c r="F29" s="423"/>
      <c r="G29" s="353" t="s">
        <v>991</v>
      </c>
      <c r="H29" s="394">
        <f>Cel工事_高力ボルト本締工_数量計</f>
        <v>21240</v>
      </c>
      <c r="I29" s="395">
        <f>Cel工事_高力ボルト本締工_単価</f>
        <v>127</v>
      </c>
      <c r="J29" s="396"/>
      <c r="K29" s="395">
        <f>INT(Cel一覧_高力ボルト本締工_数量 * Cel一覧_高力ボルト本締工_単価)</f>
        <v>2697480</v>
      </c>
      <c r="L29" s="395"/>
      <c r="M29" s="395"/>
      <c r="N29" s="397" t="s">
        <v>992</v>
      </c>
      <c r="O29" s="398"/>
      <c r="P29" s="398"/>
      <c r="Q29" s="399"/>
    </row>
    <row r="30" spans="2:20" ht="14.25" customHeight="1">
      <c r="B30" s="424" t="s">
        <v>993</v>
      </c>
      <c r="C30" s="422"/>
      <c r="D30" s="422"/>
      <c r="E30" s="422"/>
      <c r="F30" s="423"/>
      <c r="G30" s="353" t="s">
        <v>960</v>
      </c>
      <c r="H30" s="394">
        <f>Cel工事_落橋防止装置工_数量計</f>
        <v>4</v>
      </c>
      <c r="I30" s="395">
        <f>Cel工事_落橋防止装置工_単価</f>
        <v>47290</v>
      </c>
      <c r="J30" s="396"/>
      <c r="K30" s="395">
        <f>INT(Cel一覧_落橋防止装置工_数量 * Cel一覧_落橋防止装置工_単価)</f>
        <v>189160</v>
      </c>
      <c r="L30" s="395"/>
      <c r="M30" s="395"/>
      <c r="N30" s="397" t="s">
        <v>994</v>
      </c>
      <c r="O30" s="398"/>
      <c r="P30" s="398"/>
      <c r="Q30" s="399"/>
    </row>
    <row r="31" spans="2:20" ht="14.25" customHeight="1">
      <c r="B31" s="424" t="s">
        <v>995</v>
      </c>
      <c r="C31" s="422"/>
      <c r="D31" s="422"/>
      <c r="E31" s="422"/>
      <c r="F31" s="423"/>
      <c r="G31" s="353" t="s">
        <v>996</v>
      </c>
      <c r="H31" s="394">
        <f>Cel工事_足場工_数量計</f>
        <v>2271</v>
      </c>
      <c r="I31" s="395">
        <f>Cel工事_足場工_単価</f>
        <v>6615</v>
      </c>
      <c r="J31" s="396"/>
      <c r="K31" s="395">
        <f>INT(Cel一覧_足場工_数量 * Cel一覧_足場工_単価)</f>
        <v>15022665</v>
      </c>
      <c r="L31" s="395"/>
      <c r="M31" s="395"/>
      <c r="N31" s="397" t="s">
        <v>997</v>
      </c>
      <c r="O31" s="398"/>
      <c r="P31" s="398"/>
      <c r="Q31" s="399"/>
      <c r="R31" s="157"/>
      <c r="S31" s="157"/>
      <c r="T31" s="157"/>
    </row>
    <row r="32" spans="2:20" ht="14.25" hidden="1" customHeight="1">
      <c r="B32" s="424" t="s">
        <v>998</v>
      </c>
      <c r="C32" s="422"/>
      <c r="D32" s="422"/>
      <c r="E32" s="422"/>
      <c r="F32" s="423"/>
      <c r="G32" s="353" t="s">
        <v>996</v>
      </c>
      <c r="H32" s="394">
        <f>Cel工事_継手部現場塗装工_数量計</f>
        <v>0</v>
      </c>
      <c r="I32" s="395">
        <f>Cel工事_継手部現場塗装工_単価</f>
        <v>0</v>
      </c>
      <c r="J32" s="396"/>
      <c r="K32" s="395">
        <f>INT(Cel一覧_継手部現場塗装工_数量 * Cel一覧_継手部現場塗装工_単価)</f>
        <v>0</v>
      </c>
      <c r="L32" s="395"/>
      <c r="M32" s="395"/>
      <c r="N32" s="397" t="s">
        <v>997</v>
      </c>
      <c r="O32" s="398"/>
      <c r="P32" s="398"/>
      <c r="Q32" s="399"/>
    </row>
    <row r="33" spans="2:24" ht="14.25" customHeight="1">
      <c r="B33" s="416" t="s">
        <v>999</v>
      </c>
      <c r="C33" s="417"/>
      <c r="D33" s="417"/>
      <c r="E33" s="417"/>
      <c r="F33" s="418"/>
      <c r="G33" s="353" t="s">
        <v>948</v>
      </c>
      <c r="H33" s="394">
        <f>Cel工事_桁端処理工_数量計</f>
        <v>9</v>
      </c>
      <c r="I33" s="395">
        <f>Cel工事_桁端処理工_単価</f>
        <v>29658</v>
      </c>
      <c r="J33" s="396"/>
      <c r="K33" s="395">
        <f>INT(Cel一覧_桁端処理工_数量 * Cel一覧_桁端処理工_単価)</f>
        <v>266922</v>
      </c>
      <c r="L33" s="395"/>
      <c r="M33" s="395"/>
      <c r="N33" s="397" t="s">
        <v>1000</v>
      </c>
      <c r="O33" s="398"/>
      <c r="P33" s="398"/>
      <c r="Q33" s="399"/>
    </row>
    <row r="34" spans="2:24" ht="14.25" hidden="1" customHeight="1">
      <c r="B34" s="416" t="s">
        <v>1001</v>
      </c>
      <c r="C34" s="417"/>
      <c r="D34" s="417"/>
      <c r="E34" s="417"/>
      <c r="F34" s="418"/>
      <c r="G34" s="353" t="s">
        <v>951</v>
      </c>
      <c r="H34" s="406">
        <v>1</v>
      </c>
      <c r="I34" s="396"/>
      <c r="J34" s="396"/>
      <c r="K34" s="395">
        <f>IF(ISERROR(N500),0,N500)</f>
        <v>0</v>
      </c>
      <c r="L34" s="395"/>
      <c r="M34" s="395"/>
      <c r="N34" s="397" t="s">
        <v>941</v>
      </c>
      <c r="O34" s="398"/>
      <c r="P34" s="398"/>
      <c r="Q34" s="399"/>
      <c r="R34" s="157"/>
      <c r="S34" s="157"/>
      <c r="T34" s="157"/>
    </row>
    <row r="35" spans="2:24" ht="14.25" customHeight="1">
      <c r="B35" s="416" t="s">
        <v>1002</v>
      </c>
      <c r="C35" s="414"/>
      <c r="D35" s="414"/>
      <c r="E35" s="414"/>
      <c r="F35" s="415"/>
      <c r="G35" s="353" t="s">
        <v>7</v>
      </c>
      <c r="H35" s="394">
        <f>Cel工事_検査費_数量計</f>
        <v>117</v>
      </c>
      <c r="I35" s="425">
        <f>Cel工事_検査費_単価</f>
        <v>8360</v>
      </c>
      <c r="J35" s="426"/>
      <c r="K35" s="425">
        <f>INT(Cel工事_検査費_数量計 * Cel工事_検査費_単価)</f>
        <v>978120</v>
      </c>
      <c r="L35" s="427"/>
      <c r="M35" s="426"/>
      <c r="N35" s="428" t="s">
        <v>1003</v>
      </c>
      <c r="O35" s="429"/>
      <c r="P35" s="429"/>
      <c r="Q35" s="430"/>
      <c r="R35" s="157"/>
      <c r="S35" s="157"/>
      <c r="T35" s="157"/>
    </row>
    <row r="36" spans="2:24" ht="14.25" customHeight="1">
      <c r="B36" s="431" t="s">
        <v>1004</v>
      </c>
      <c r="C36" s="432"/>
      <c r="D36" s="432"/>
      <c r="E36" s="432"/>
      <c r="F36" s="433"/>
      <c r="G36" s="434"/>
      <c r="H36" s="435"/>
      <c r="I36" s="396"/>
      <c r="J36" s="396"/>
      <c r="K36" s="395">
        <f ca="1">SUM(K7:M35)</f>
        <v>121495197.17</v>
      </c>
      <c r="L36" s="395"/>
      <c r="M36" s="395"/>
      <c r="N36" s="397"/>
      <c r="O36" s="398"/>
      <c r="P36" s="398"/>
      <c r="Q36" s="399"/>
    </row>
    <row r="37" spans="2:24" ht="14.25" customHeight="1"/>
    <row r="38" spans="2:24" ht="14.25" customHeight="1">
      <c r="C38" s="436" t="s">
        <v>1005</v>
      </c>
      <c r="D38" s="437"/>
      <c r="E38" s="437"/>
      <c r="F38" s="438">
        <f ca="1">K36</f>
        <v>121495197.17</v>
      </c>
      <c r="G38" s="438"/>
      <c r="H38" s="439" t="s">
        <v>1006</v>
      </c>
      <c r="I38" s="440">
        <f>'[1]基本 (1)'!G34</f>
        <v>457.5</v>
      </c>
      <c r="J38" s="439" t="s">
        <v>1007</v>
      </c>
      <c r="K38" s="440">
        <f ca="1">ROUND(F38/I38/1000,1)</f>
        <v>265.60000000000002</v>
      </c>
      <c r="L38" s="441" t="s">
        <v>1008</v>
      </c>
    </row>
    <row r="39" spans="2:24" ht="14.25" customHeight="1"/>
    <row r="40" spans="2:24" ht="14.25" customHeight="1"/>
    <row r="41" spans="2:24" ht="14.25" customHeight="1">
      <c r="B41" s="143" t="s">
        <v>1009</v>
      </c>
      <c r="V41" s="159"/>
      <c r="W41" s="157"/>
    </row>
    <row r="42" spans="2:24" ht="14.25" customHeight="1">
      <c r="B42" s="309" t="s">
        <v>1010</v>
      </c>
      <c r="C42" s="309"/>
      <c r="D42" s="251" t="s">
        <v>930</v>
      </c>
      <c r="E42" s="309"/>
      <c r="F42" s="309"/>
      <c r="G42" s="309" t="s">
        <v>1011</v>
      </c>
      <c r="H42" s="309"/>
      <c r="I42" s="309"/>
      <c r="J42" s="353" t="s">
        <v>931</v>
      </c>
      <c r="K42" s="353" t="s">
        <v>932</v>
      </c>
      <c r="L42" s="309" t="s">
        <v>1012</v>
      </c>
      <c r="M42" s="309"/>
      <c r="N42" s="309" t="s">
        <v>1013</v>
      </c>
      <c r="O42" s="309"/>
      <c r="P42" s="309" t="s">
        <v>1014</v>
      </c>
      <c r="Q42" s="309"/>
      <c r="R42" s="309"/>
      <c r="S42" s="309"/>
      <c r="T42" s="309"/>
      <c r="U42" s="309"/>
      <c r="V42" s="309"/>
      <c r="W42" s="309"/>
      <c r="X42" s="309"/>
    </row>
    <row r="43" spans="2:24" ht="14.25" customHeight="1">
      <c r="B43" s="442" t="s">
        <v>1015</v>
      </c>
      <c r="C43" s="443"/>
      <c r="D43" s="431" t="s">
        <v>1016</v>
      </c>
      <c r="E43" s="432"/>
      <c r="F43" s="433"/>
      <c r="G43" s="444" t="s">
        <v>1017</v>
      </c>
      <c r="H43" s="445">
        <v>0.6</v>
      </c>
      <c r="I43" s="446" t="s">
        <v>1018</v>
      </c>
      <c r="J43" s="353" t="s">
        <v>1019</v>
      </c>
      <c r="K43" s="447">
        <f>ROUND(H43*R43/100,2)</f>
        <v>0.65</v>
      </c>
      <c r="L43" s="425">
        <f>$L$234</f>
        <v>33710</v>
      </c>
      <c r="M43" s="448"/>
      <c r="N43" s="425">
        <f>K43*L43</f>
        <v>21911.5</v>
      </c>
      <c r="O43" s="448"/>
      <c r="P43" s="392" t="s">
        <v>1020</v>
      </c>
      <c r="Q43" s="449"/>
      <c r="R43" s="450">
        <f>IF('[1]日数 (1)'!D7&lt;=0.2,155,155*0.7)</f>
        <v>108.5</v>
      </c>
      <c r="S43" s="451" t="s">
        <v>1021</v>
      </c>
      <c r="T43" s="318" t="s">
        <v>1022</v>
      </c>
      <c r="U43" s="452" t="s">
        <v>1023</v>
      </c>
      <c r="V43" s="452"/>
      <c r="W43" s="453"/>
      <c r="X43" s="454"/>
    </row>
    <row r="44" spans="2:24" ht="14.25" customHeight="1">
      <c r="B44" s="455"/>
      <c r="C44" s="455"/>
      <c r="D44" s="309" t="s">
        <v>1024</v>
      </c>
      <c r="E44" s="309"/>
      <c r="F44" s="309"/>
      <c r="G44" s="444" t="s">
        <v>1017</v>
      </c>
      <c r="H44" s="445">
        <v>1.1000000000000001</v>
      </c>
      <c r="I44" s="446" t="s">
        <v>1018</v>
      </c>
      <c r="J44" s="353" t="s">
        <v>1025</v>
      </c>
      <c r="K44" s="447">
        <f>ROUND(H44*R43/100,2)</f>
        <v>1.19</v>
      </c>
      <c r="L44" s="425">
        <f>$L$235</f>
        <v>28930</v>
      </c>
      <c r="M44" s="448"/>
      <c r="N44" s="425">
        <f>K44*L44</f>
        <v>34426.699999999997</v>
      </c>
      <c r="O44" s="448"/>
      <c r="P44" s="456"/>
      <c r="Q44" s="148"/>
      <c r="R44" s="148"/>
      <c r="S44" s="148"/>
      <c r="T44" s="148"/>
      <c r="U44" s="148"/>
      <c r="V44" s="148"/>
      <c r="W44" s="148"/>
      <c r="X44" s="457"/>
    </row>
    <row r="45" spans="2:24" ht="14.25" customHeight="1">
      <c r="B45" s="458"/>
      <c r="C45" s="458"/>
      <c r="D45" s="309" t="s">
        <v>1026</v>
      </c>
      <c r="E45" s="309"/>
      <c r="F45" s="309"/>
      <c r="G45" s="444" t="s">
        <v>1017</v>
      </c>
      <c r="H45" s="445">
        <v>2.9</v>
      </c>
      <c r="I45" s="446" t="s">
        <v>1018</v>
      </c>
      <c r="J45" s="353" t="s">
        <v>1025</v>
      </c>
      <c r="K45" s="447">
        <f>ROUND(H45*R43/100,2)</f>
        <v>3.15</v>
      </c>
      <c r="L45" s="425">
        <f>$L$236</f>
        <v>18800</v>
      </c>
      <c r="M45" s="448"/>
      <c r="N45" s="425">
        <f>K45*L45</f>
        <v>59220</v>
      </c>
      <c r="O45" s="448"/>
      <c r="P45" s="456"/>
      <c r="Q45" s="148"/>
      <c r="R45" s="148"/>
      <c r="S45" s="148"/>
      <c r="T45" s="148"/>
      <c r="U45" s="148"/>
      <c r="V45" s="148"/>
      <c r="W45" s="148"/>
      <c r="X45" s="457"/>
    </row>
    <row r="46" spans="2:24" ht="14.25" customHeight="1">
      <c r="B46" s="459" t="s">
        <v>1027</v>
      </c>
      <c r="C46" s="459"/>
      <c r="D46" s="392" t="s">
        <v>1028</v>
      </c>
      <c r="E46" s="449"/>
      <c r="F46" s="393"/>
      <c r="G46" s="460" t="s">
        <v>1029</v>
      </c>
      <c r="H46" s="459"/>
      <c r="I46" s="459"/>
      <c r="J46" s="461" t="s">
        <v>183</v>
      </c>
      <c r="K46" s="462">
        <f>ROUND(1*100/R43,2)</f>
        <v>0.92</v>
      </c>
      <c r="L46" s="463">
        <f>N58</f>
        <v>27740</v>
      </c>
      <c r="M46" s="464"/>
      <c r="N46" s="463">
        <f>K46*L46</f>
        <v>25520.800000000003</v>
      </c>
      <c r="O46" s="464"/>
      <c r="P46" s="456"/>
      <c r="Q46" s="148"/>
      <c r="R46" s="148"/>
      <c r="S46" s="148"/>
      <c r="T46" s="148"/>
      <c r="U46" s="148"/>
      <c r="V46" s="148"/>
      <c r="W46" s="148"/>
      <c r="X46" s="457"/>
    </row>
    <row r="47" spans="2:24" ht="14.25" customHeight="1">
      <c r="B47" s="458"/>
      <c r="C47" s="458"/>
      <c r="D47" s="458"/>
      <c r="E47" s="458"/>
      <c r="F47" s="458"/>
      <c r="G47" s="465" t="s">
        <v>1030</v>
      </c>
      <c r="H47" s="466"/>
      <c r="I47" s="467"/>
      <c r="J47" s="468"/>
      <c r="K47" s="469"/>
      <c r="L47" s="470"/>
      <c r="M47" s="471"/>
      <c r="N47" s="470"/>
      <c r="O47" s="471"/>
      <c r="P47" s="456"/>
      <c r="Q47" s="148"/>
      <c r="R47" s="148"/>
      <c r="S47" s="148"/>
      <c r="T47" s="148"/>
      <c r="U47" s="148"/>
      <c r="V47" s="148"/>
      <c r="W47" s="148"/>
      <c r="X47" s="457"/>
    </row>
    <row r="48" spans="2:24" ht="14.25" customHeight="1">
      <c r="B48" s="282" t="s">
        <v>1031</v>
      </c>
      <c r="C48" s="458"/>
      <c r="D48" s="251" t="s">
        <v>1032</v>
      </c>
      <c r="E48" s="309"/>
      <c r="F48" s="309"/>
      <c r="G48" s="431"/>
      <c r="H48" s="432"/>
      <c r="I48" s="433"/>
      <c r="J48" s="472" t="s">
        <v>1033</v>
      </c>
      <c r="K48" s="473">
        <f>ROUND(P48*R48*T48,1)</f>
        <v>36</v>
      </c>
      <c r="L48" s="425">
        <v>2500</v>
      </c>
      <c r="M48" s="448"/>
      <c r="N48" s="474">
        <f>K48*L48</f>
        <v>90000</v>
      </c>
      <c r="O48" s="475"/>
      <c r="P48" s="476">
        <v>100</v>
      </c>
      <c r="Q48" s="149" t="s">
        <v>1034</v>
      </c>
      <c r="R48" s="234">
        <f>'[1]日数 (1)'!D7</f>
        <v>0.3</v>
      </c>
      <c r="S48" s="149" t="s">
        <v>1034</v>
      </c>
      <c r="T48" s="150">
        <v>1.2</v>
      </c>
      <c r="U48" s="148"/>
      <c r="V48" s="148"/>
      <c r="W48" s="148"/>
      <c r="X48" s="457"/>
    </row>
    <row r="49" spans="2:24" ht="14.25" customHeight="1">
      <c r="B49" s="309" t="s">
        <v>1035</v>
      </c>
      <c r="C49" s="309"/>
      <c r="D49" s="309"/>
      <c r="E49" s="309"/>
      <c r="F49" s="309"/>
      <c r="G49" s="309"/>
      <c r="H49" s="309"/>
      <c r="I49" s="309"/>
      <c r="J49" s="353" t="s">
        <v>1036</v>
      </c>
      <c r="K49" s="406">
        <v>1</v>
      </c>
      <c r="L49" s="396"/>
      <c r="M49" s="396"/>
      <c r="N49" s="395">
        <f>(N43+N44+N45+N46)*(R49/100)</f>
        <v>987.55299999999988</v>
      </c>
      <c r="O49" s="395"/>
      <c r="P49" s="146" t="s">
        <v>1037</v>
      </c>
      <c r="Q49" s="149" t="s">
        <v>323</v>
      </c>
      <c r="R49" s="150">
        <v>0.7</v>
      </c>
      <c r="S49" s="148" t="s">
        <v>1038</v>
      </c>
      <c r="T49" s="148"/>
      <c r="U49" s="148"/>
      <c r="V49" s="148"/>
      <c r="W49" s="148"/>
      <c r="X49" s="457"/>
    </row>
    <row r="50" spans="2:24" ht="14.25" customHeight="1">
      <c r="B50" s="309"/>
      <c r="C50" s="309"/>
      <c r="D50" s="309" t="s">
        <v>606</v>
      </c>
      <c r="E50" s="309"/>
      <c r="F50" s="309"/>
      <c r="G50" s="431"/>
      <c r="H50" s="432"/>
      <c r="I50" s="433"/>
      <c r="J50" s="353"/>
      <c r="K50" s="394">
        <f>'[1]日数 (1)'!D31</f>
        <v>960</v>
      </c>
      <c r="L50" s="425">
        <f>INT(Cel工事_送出しヤード工基礎砕石工_金額計 / Cel工事_送出しヤード工基礎砕石工_数量計)</f>
        <v>241</v>
      </c>
      <c r="M50" s="420"/>
      <c r="N50" s="425">
        <f>SUM(N43:O49)</f>
        <v>232066.55300000001</v>
      </c>
      <c r="O50" s="448"/>
      <c r="P50" s="477"/>
      <c r="Q50" s="478"/>
      <c r="R50" s="478"/>
      <c r="S50" s="478"/>
      <c r="T50" s="478"/>
      <c r="U50" s="478"/>
      <c r="V50" s="478"/>
      <c r="W50" s="478"/>
      <c r="X50" s="446"/>
    </row>
    <row r="51" spans="2:24" ht="14.25" customHeight="1"/>
    <row r="52" spans="2:24" ht="14.25" customHeight="1">
      <c r="B52" s="143" t="s">
        <v>1039</v>
      </c>
      <c r="V52" s="159"/>
      <c r="W52" s="157"/>
    </row>
    <row r="53" spans="2:24" ht="14.25" customHeight="1">
      <c r="B53" s="309" t="s">
        <v>1010</v>
      </c>
      <c r="C53" s="309"/>
      <c r="D53" s="251" t="s">
        <v>930</v>
      </c>
      <c r="E53" s="309"/>
      <c r="F53" s="309"/>
      <c r="G53" s="309" t="s">
        <v>1011</v>
      </c>
      <c r="H53" s="309"/>
      <c r="I53" s="309"/>
      <c r="J53" s="353" t="s">
        <v>931</v>
      </c>
      <c r="K53" s="353" t="s">
        <v>932</v>
      </c>
      <c r="L53" s="309" t="s">
        <v>1012</v>
      </c>
      <c r="M53" s="309"/>
      <c r="N53" s="309" t="s">
        <v>1013</v>
      </c>
      <c r="O53" s="309"/>
      <c r="P53" s="309" t="s">
        <v>1014</v>
      </c>
      <c r="Q53" s="309"/>
      <c r="R53" s="309"/>
      <c r="S53" s="309"/>
      <c r="T53" s="309"/>
      <c r="U53" s="309"/>
      <c r="V53" s="309"/>
      <c r="W53" s="309"/>
      <c r="X53" s="309"/>
    </row>
    <row r="54" spans="2:24" ht="14.25" customHeight="1">
      <c r="B54" s="431" t="s">
        <v>1015</v>
      </c>
      <c r="C54" s="433"/>
      <c r="D54" s="389" t="s">
        <v>1040</v>
      </c>
      <c r="E54" s="432"/>
      <c r="F54" s="433"/>
      <c r="G54" s="431"/>
      <c r="H54" s="432"/>
      <c r="I54" s="433"/>
      <c r="J54" s="353" t="s">
        <v>1019</v>
      </c>
      <c r="K54" s="479">
        <v>0.57999999999999996</v>
      </c>
      <c r="L54" s="425">
        <f>VLOOKUP("全国平均",[1]労務単価!A1:E57,5,FALSE)</f>
        <v>22150</v>
      </c>
      <c r="M54" s="448"/>
      <c r="N54" s="425">
        <f>K54*L54</f>
        <v>12847</v>
      </c>
      <c r="O54" s="448"/>
      <c r="P54" s="480"/>
      <c r="Q54" s="481"/>
      <c r="R54" s="482"/>
      <c r="S54" s="451"/>
      <c r="T54" s="318" t="s">
        <v>1022</v>
      </c>
      <c r="U54" s="452" t="s">
        <v>1023</v>
      </c>
      <c r="V54" s="452"/>
      <c r="W54" s="453"/>
      <c r="X54" s="454"/>
    </row>
    <row r="55" spans="2:24" ht="14.25" customHeight="1">
      <c r="B55" s="282" t="s">
        <v>1041</v>
      </c>
      <c r="C55" s="458"/>
      <c r="D55" s="251"/>
      <c r="E55" s="309"/>
      <c r="F55" s="309"/>
      <c r="G55" s="431"/>
      <c r="H55" s="432"/>
      <c r="I55" s="433"/>
      <c r="J55" s="472" t="s">
        <v>1042</v>
      </c>
      <c r="K55" s="483">
        <v>41</v>
      </c>
      <c r="L55" s="484">
        <v>80</v>
      </c>
      <c r="M55" s="485"/>
      <c r="N55" s="474">
        <f>K55*L55</f>
        <v>3280</v>
      </c>
      <c r="O55" s="475"/>
      <c r="P55" s="476"/>
      <c r="Q55" s="149"/>
      <c r="R55" s="150"/>
      <c r="S55" s="149"/>
      <c r="T55" s="150"/>
      <c r="U55" s="148"/>
      <c r="V55" s="148"/>
      <c r="W55" s="148"/>
      <c r="X55" s="457"/>
    </row>
    <row r="56" spans="2:24" ht="14.25" customHeight="1">
      <c r="B56" s="459" t="s">
        <v>1027</v>
      </c>
      <c r="C56" s="459"/>
      <c r="D56" s="392" t="s">
        <v>1043</v>
      </c>
      <c r="E56" s="449"/>
      <c r="F56" s="393"/>
      <c r="G56" s="460" t="s">
        <v>1029</v>
      </c>
      <c r="H56" s="459"/>
      <c r="I56" s="459"/>
      <c r="J56" s="461" t="s">
        <v>183</v>
      </c>
      <c r="K56" s="486">
        <v>0.79</v>
      </c>
      <c r="L56" s="463">
        <f>VLOOKUP("全国平均",[1]クレーン単価!A60:B116,2,FALSE)</f>
        <v>14700</v>
      </c>
      <c r="M56" s="464"/>
      <c r="N56" s="463">
        <f>K56*L56</f>
        <v>11613</v>
      </c>
      <c r="O56" s="464"/>
      <c r="P56" s="456"/>
      <c r="Q56" s="148"/>
      <c r="R56" s="148"/>
      <c r="S56" s="148"/>
      <c r="T56" s="148"/>
      <c r="U56" s="148"/>
      <c r="V56" s="148"/>
      <c r="W56" s="148"/>
      <c r="X56" s="457"/>
    </row>
    <row r="57" spans="2:24" ht="14.25" customHeight="1">
      <c r="B57" s="458"/>
      <c r="C57" s="458"/>
      <c r="D57" s="458"/>
      <c r="E57" s="458"/>
      <c r="F57" s="458"/>
      <c r="G57" s="465" t="s">
        <v>1030</v>
      </c>
      <c r="H57" s="466"/>
      <c r="I57" s="467"/>
      <c r="J57" s="468"/>
      <c r="K57" s="469"/>
      <c r="L57" s="470"/>
      <c r="M57" s="471"/>
      <c r="N57" s="470"/>
      <c r="O57" s="471"/>
      <c r="P57" s="456"/>
      <c r="Q57" s="148"/>
      <c r="R57" s="148"/>
      <c r="S57" s="148"/>
      <c r="T57" s="148"/>
      <c r="U57" s="148"/>
      <c r="V57" s="148"/>
      <c r="W57" s="148"/>
      <c r="X57" s="457"/>
    </row>
    <row r="58" spans="2:24" ht="14.25" customHeight="1">
      <c r="B58" s="309"/>
      <c r="C58" s="309"/>
      <c r="D58" s="309" t="s">
        <v>606</v>
      </c>
      <c r="E58" s="309"/>
      <c r="F58" s="309"/>
      <c r="G58" s="431"/>
      <c r="H58" s="432"/>
      <c r="I58" s="433"/>
      <c r="J58" s="353"/>
      <c r="K58" s="406"/>
      <c r="L58" s="419"/>
      <c r="M58" s="420"/>
      <c r="N58" s="425">
        <f>SUM(N54:O57)</f>
        <v>27740</v>
      </c>
      <c r="O58" s="448"/>
      <c r="P58" s="477"/>
      <c r="Q58" s="478"/>
      <c r="R58" s="478"/>
      <c r="S58" s="478"/>
      <c r="T58" s="478"/>
      <c r="U58" s="478"/>
      <c r="V58" s="478"/>
      <c r="W58" s="478"/>
      <c r="X58" s="446"/>
    </row>
    <row r="59" spans="2:24" ht="14.25" customHeight="1"/>
    <row r="60" spans="2:24" ht="14.25" customHeight="1"/>
    <row r="61" spans="2:24" ht="14.25" hidden="1" customHeight="1">
      <c r="B61" s="143"/>
      <c r="V61" s="159"/>
      <c r="W61" s="157"/>
    </row>
    <row r="62" spans="2:24" ht="14.25" hidden="1" customHeight="1">
      <c r="B62" s="309" t="s">
        <v>1010</v>
      </c>
      <c r="C62" s="309"/>
      <c r="D62" s="251" t="s">
        <v>930</v>
      </c>
      <c r="E62" s="309"/>
      <c r="F62" s="309"/>
      <c r="G62" s="309" t="s">
        <v>1011</v>
      </c>
      <c r="H62" s="309"/>
      <c r="I62" s="309"/>
      <c r="J62" s="353" t="s">
        <v>931</v>
      </c>
      <c r="K62" s="353" t="s">
        <v>932</v>
      </c>
      <c r="L62" s="309" t="s">
        <v>1012</v>
      </c>
      <c r="M62" s="309"/>
      <c r="N62" s="309" t="s">
        <v>1013</v>
      </c>
      <c r="O62" s="309"/>
      <c r="P62" s="309" t="s">
        <v>1014</v>
      </c>
      <c r="Q62" s="309"/>
      <c r="R62" s="309"/>
      <c r="S62" s="309"/>
      <c r="T62" s="309"/>
      <c r="U62" s="309"/>
      <c r="V62" s="309"/>
      <c r="W62" s="309"/>
      <c r="X62" s="309"/>
    </row>
    <row r="63" spans="2:24" ht="14.25" hidden="1" customHeight="1">
      <c r="B63" s="442" t="s">
        <v>1015</v>
      </c>
      <c r="C63" s="443"/>
      <c r="D63" s="431" t="s">
        <v>1016</v>
      </c>
      <c r="E63" s="432"/>
      <c r="F63" s="433"/>
      <c r="G63" s="444" t="s">
        <v>1017</v>
      </c>
      <c r="H63" s="445">
        <v>1</v>
      </c>
      <c r="I63" s="446" t="s">
        <v>1018</v>
      </c>
      <c r="J63" s="353" t="s">
        <v>1019</v>
      </c>
      <c r="K63" s="394">
        <f>H63*R63</f>
        <v>0</v>
      </c>
      <c r="L63" s="425">
        <f>$L$234</f>
        <v>33710</v>
      </c>
      <c r="M63" s="448"/>
      <c r="N63" s="425">
        <f>K63*L63</f>
        <v>0</v>
      </c>
      <c r="O63" s="448"/>
      <c r="P63" s="442" t="s">
        <v>1044</v>
      </c>
      <c r="Q63" s="224"/>
      <c r="R63" s="450"/>
      <c r="S63" s="453" t="s">
        <v>183</v>
      </c>
      <c r="T63" s="318"/>
      <c r="U63" s="452" t="s">
        <v>1023</v>
      </c>
      <c r="V63" s="452"/>
      <c r="W63" s="453"/>
      <c r="X63" s="454"/>
    </row>
    <row r="64" spans="2:24" ht="14.25" hidden="1" customHeight="1">
      <c r="B64" s="455"/>
      <c r="C64" s="455"/>
      <c r="D64" s="309" t="s">
        <v>1024</v>
      </c>
      <c r="E64" s="309"/>
      <c r="F64" s="309"/>
      <c r="G64" s="444" t="s">
        <v>1017</v>
      </c>
      <c r="H64" s="445">
        <v>4</v>
      </c>
      <c r="I64" s="446" t="s">
        <v>1018</v>
      </c>
      <c r="J64" s="353" t="s">
        <v>1025</v>
      </c>
      <c r="K64" s="394">
        <f>H64*R63</f>
        <v>0</v>
      </c>
      <c r="L64" s="425">
        <f>$L$235</f>
        <v>28930</v>
      </c>
      <c r="M64" s="448"/>
      <c r="N64" s="425">
        <f>K64*L64</f>
        <v>0</v>
      </c>
      <c r="O64" s="448"/>
      <c r="P64" s="456"/>
      <c r="Q64" s="148"/>
      <c r="R64" s="148"/>
      <c r="S64" s="148"/>
      <c r="T64" s="148"/>
      <c r="U64" s="148"/>
      <c r="V64" s="148"/>
      <c r="W64" s="148"/>
      <c r="X64" s="457"/>
    </row>
    <row r="65" spans="2:24" ht="14.25" hidden="1" customHeight="1">
      <c r="B65" s="458"/>
      <c r="C65" s="458"/>
      <c r="D65" s="309" t="s">
        <v>1026</v>
      </c>
      <c r="E65" s="309"/>
      <c r="F65" s="309"/>
      <c r="G65" s="444" t="s">
        <v>1017</v>
      </c>
      <c r="H65" s="445"/>
      <c r="I65" s="446" t="s">
        <v>1018</v>
      </c>
      <c r="J65" s="353" t="s">
        <v>1025</v>
      </c>
      <c r="K65" s="394">
        <f>H65*R63</f>
        <v>0</v>
      </c>
      <c r="L65" s="425">
        <f>$L$236</f>
        <v>18800</v>
      </c>
      <c r="M65" s="448"/>
      <c r="N65" s="425">
        <f>K65*L65</f>
        <v>0</v>
      </c>
      <c r="O65" s="448"/>
      <c r="P65" s="456"/>
      <c r="Q65" s="148"/>
      <c r="R65" s="148"/>
      <c r="S65" s="148"/>
      <c r="T65" s="148"/>
      <c r="U65" s="148"/>
      <c r="V65" s="148"/>
      <c r="W65" s="148"/>
      <c r="X65" s="457"/>
    </row>
    <row r="66" spans="2:24" ht="14.25" hidden="1" customHeight="1">
      <c r="B66" s="459" t="s">
        <v>1027</v>
      </c>
      <c r="C66" s="459"/>
      <c r="D66" s="392" t="s">
        <v>1045</v>
      </c>
      <c r="E66" s="449"/>
      <c r="F66" s="393"/>
      <c r="G66" s="487" t="s">
        <v>1046</v>
      </c>
      <c r="H66" s="488"/>
      <c r="I66" s="488"/>
      <c r="J66" s="461" t="s">
        <v>183</v>
      </c>
      <c r="K66" s="473">
        <f>ROUND(R63,0)</f>
        <v>0</v>
      </c>
      <c r="L66" s="463"/>
      <c r="M66" s="464"/>
      <c r="N66" s="463">
        <f>K66*L66</f>
        <v>0</v>
      </c>
      <c r="O66" s="464"/>
      <c r="P66" s="456"/>
      <c r="Q66" s="148"/>
      <c r="R66" s="148"/>
      <c r="S66" s="148"/>
      <c r="T66" s="148"/>
      <c r="U66" s="148"/>
      <c r="V66" s="148"/>
      <c r="W66" s="148"/>
      <c r="X66" s="457"/>
    </row>
    <row r="67" spans="2:24" ht="14.25" hidden="1" customHeight="1">
      <c r="B67" s="455"/>
      <c r="C67" s="455"/>
      <c r="D67" s="458"/>
      <c r="E67" s="458"/>
      <c r="F67" s="458"/>
      <c r="G67" s="458" t="s">
        <v>1047</v>
      </c>
      <c r="H67" s="458"/>
      <c r="I67" s="458"/>
      <c r="J67" s="468"/>
      <c r="K67" s="469"/>
      <c r="L67" s="470"/>
      <c r="M67" s="471"/>
      <c r="N67" s="470"/>
      <c r="O67" s="471"/>
      <c r="P67" s="456"/>
      <c r="Q67" s="148"/>
      <c r="R67" s="148"/>
      <c r="S67" s="148"/>
      <c r="T67" s="148"/>
      <c r="U67" s="148"/>
      <c r="V67" s="148"/>
      <c r="W67" s="148"/>
      <c r="X67" s="457"/>
    </row>
    <row r="68" spans="2:24" ht="14.25" hidden="1" customHeight="1">
      <c r="B68" s="455"/>
      <c r="C68" s="455"/>
      <c r="D68" s="459" t="s">
        <v>1048</v>
      </c>
      <c r="E68" s="459"/>
      <c r="F68" s="459"/>
      <c r="G68" s="389" t="s">
        <v>1049</v>
      </c>
      <c r="H68" s="390"/>
      <c r="I68" s="391"/>
      <c r="J68" s="353" t="s">
        <v>1025</v>
      </c>
      <c r="K68" s="394"/>
      <c r="L68" s="425">
        <f>ROUND(P68*R68*(U68/100),0)</f>
        <v>0</v>
      </c>
      <c r="M68" s="448"/>
      <c r="N68" s="474">
        <f>K68*L68</f>
        <v>0</v>
      </c>
      <c r="O68" s="475"/>
      <c r="P68" s="151"/>
      <c r="Q68" s="149" t="s">
        <v>1050</v>
      </c>
      <c r="R68" s="489">
        <f>R77</f>
        <v>761</v>
      </c>
      <c r="S68" s="352" t="s">
        <v>1051</v>
      </c>
      <c r="T68" s="149" t="s">
        <v>1034</v>
      </c>
      <c r="U68" s="186"/>
      <c r="V68" s="146" t="s">
        <v>1052</v>
      </c>
      <c r="W68" s="148"/>
      <c r="X68" s="457"/>
    </row>
    <row r="69" spans="2:24" ht="14.25" hidden="1" customHeight="1">
      <c r="B69" s="309"/>
      <c r="C69" s="309"/>
      <c r="D69" s="309" t="s">
        <v>606</v>
      </c>
      <c r="E69" s="309"/>
      <c r="F69" s="309"/>
      <c r="G69" s="431"/>
      <c r="H69" s="432"/>
      <c r="I69" s="433"/>
      <c r="J69" s="353"/>
      <c r="K69" s="394">
        <f>'[1]日数 (1)'!D42</f>
        <v>0</v>
      </c>
      <c r="L69" s="425">
        <v>0</v>
      </c>
      <c r="M69" s="420"/>
      <c r="N69" s="425">
        <f>SUM(N63:O68)</f>
        <v>0</v>
      </c>
      <c r="O69" s="448"/>
      <c r="P69" s="477"/>
      <c r="Q69" s="478"/>
      <c r="R69" s="478"/>
      <c r="S69" s="478"/>
      <c r="T69" s="478"/>
      <c r="U69" s="478"/>
      <c r="V69" s="478"/>
      <c r="W69" s="478"/>
      <c r="X69" s="446"/>
    </row>
    <row r="70" spans="2:24" ht="14.25" hidden="1" customHeight="1"/>
    <row r="71" spans="2:24" ht="14.25" hidden="1" customHeight="1"/>
    <row r="72" spans="2:24" ht="14.25" hidden="1" customHeight="1">
      <c r="B72" s="143"/>
      <c r="V72" s="159"/>
    </row>
    <row r="73" spans="2:24" ht="14.25" hidden="1" customHeight="1">
      <c r="B73" s="309" t="s">
        <v>1010</v>
      </c>
      <c r="C73" s="309"/>
      <c r="D73" s="251" t="s">
        <v>930</v>
      </c>
      <c r="E73" s="309"/>
      <c r="F73" s="309"/>
      <c r="G73" s="309" t="s">
        <v>1011</v>
      </c>
      <c r="H73" s="309"/>
      <c r="I73" s="309"/>
      <c r="J73" s="353" t="s">
        <v>931</v>
      </c>
      <c r="K73" s="353" t="s">
        <v>932</v>
      </c>
      <c r="L73" s="309" t="s">
        <v>1012</v>
      </c>
      <c r="M73" s="309"/>
      <c r="N73" s="309" t="s">
        <v>1013</v>
      </c>
      <c r="O73" s="309"/>
      <c r="P73" s="309" t="s">
        <v>1014</v>
      </c>
      <c r="Q73" s="309"/>
      <c r="R73" s="309"/>
      <c r="S73" s="309"/>
      <c r="T73" s="309"/>
      <c r="U73" s="309"/>
      <c r="V73" s="309"/>
      <c r="W73" s="309"/>
      <c r="X73" s="309"/>
    </row>
    <row r="74" spans="2:24" ht="14.25" hidden="1" customHeight="1">
      <c r="B74" s="459" t="s">
        <v>1015</v>
      </c>
      <c r="C74" s="459"/>
      <c r="D74" s="309" t="s">
        <v>1016</v>
      </c>
      <c r="E74" s="309"/>
      <c r="F74" s="309"/>
      <c r="G74" s="444" t="s">
        <v>1017</v>
      </c>
      <c r="H74" s="445">
        <v>1</v>
      </c>
      <c r="I74" s="446" t="s">
        <v>1018</v>
      </c>
      <c r="J74" s="353" t="s">
        <v>1019</v>
      </c>
      <c r="K74" s="394">
        <f>H74*R74</f>
        <v>0</v>
      </c>
      <c r="L74" s="425">
        <f>$L$234</f>
        <v>33710</v>
      </c>
      <c r="M74" s="448"/>
      <c r="N74" s="395">
        <f t="shared" ref="N74:N79" si="0">L74*K74</f>
        <v>0</v>
      </c>
      <c r="O74" s="395"/>
      <c r="P74" s="224" t="s">
        <v>1053</v>
      </c>
      <c r="Q74" s="224"/>
      <c r="R74" s="450"/>
      <c r="S74" s="453" t="s">
        <v>183</v>
      </c>
      <c r="T74" s="318"/>
      <c r="U74" s="452" t="s">
        <v>1023</v>
      </c>
      <c r="V74" s="452"/>
      <c r="W74" s="453"/>
      <c r="X74" s="454"/>
    </row>
    <row r="75" spans="2:24" ht="14.25" hidden="1" customHeight="1">
      <c r="B75" s="455"/>
      <c r="C75" s="455"/>
      <c r="D75" s="309" t="s">
        <v>1024</v>
      </c>
      <c r="E75" s="309"/>
      <c r="F75" s="309"/>
      <c r="G75" s="444" t="s">
        <v>1017</v>
      </c>
      <c r="H75" s="445">
        <v>5</v>
      </c>
      <c r="I75" s="446" t="s">
        <v>1018</v>
      </c>
      <c r="J75" s="353" t="s">
        <v>1025</v>
      </c>
      <c r="K75" s="394">
        <f>H75*R74</f>
        <v>0</v>
      </c>
      <c r="L75" s="425">
        <f>$L$235</f>
        <v>28930</v>
      </c>
      <c r="M75" s="448"/>
      <c r="N75" s="395">
        <f t="shared" si="0"/>
        <v>0</v>
      </c>
      <c r="O75" s="395"/>
      <c r="P75" s="148"/>
      <c r="Q75" s="148"/>
      <c r="R75" s="148"/>
      <c r="S75" s="148"/>
      <c r="T75" s="148"/>
      <c r="U75" s="148"/>
      <c r="V75" s="148"/>
      <c r="W75" s="148"/>
      <c r="X75" s="457"/>
    </row>
    <row r="76" spans="2:24" ht="14.25" hidden="1" customHeight="1">
      <c r="B76" s="458"/>
      <c r="C76" s="458"/>
      <c r="D76" s="309" t="s">
        <v>1026</v>
      </c>
      <c r="E76" s="309"/>
      <c r="F76" s="309"/>
      <c r="G76" s="444" t="s">
        <v>1017</v>
      </c>
      <c r="H76" s="445"/>
      <c r="I76" s="446" t="s">
        <v>1018</v>
      </c>
      <c r="J76" s="353" t="s">
        <v>1025</v>
      </c>
      <c r="K76" s="394">
        <f>H76*R74</f>
        <v>0</v>
      </c>
      <c r="L76" s="425">
        <f>$L$236</f>
        <v>18800</v>
      </c>
      <c r="M76" s="448"/>
      <c r="N76" s="395">
        <f t="shared" si="0"/>
        <v>0</v>
      </c>
      <c r="O76" s="395"/>
      <c r="P76" s="148"/>
      <c r="Q76" s="148"/>
      <c r="R76" s="148"/>
      <c r="S76" s="148"/>
      <c r="T76" s="148"/>
      <c r="U76" s="148"/>
      <c r="V76" s="148"/>
      <c r="W76" s="148"/>
      <c r="X76" s="457"/>
    </row>
    <row r="77" spans="2:24" ht="14.25" hidden="1" customHeight="1">
      <c r="B77" s="459" t="s">
        <v>1027</v>
      </c>
      <c r="C77" s="459"/>
      <c r="D77" s="309" t="s">
        <v>1054</v>
      </c>
      <c r="E77" s="309"/>
      <c r="F77" s="309"/>
      <c r="G77" s="431"/>
      <c r="H77" s="432"/>
      <c r="I77" s="433"/>
      <c r="J77" s="353" t="s">
        <v>183</v>
      </c>
      <c r="K77" s="394">
        <f>K68</f>
        <v>0</v>
      </c>
      <c r="L77" s="395">
        <f>U77</f>
        <v>0</v>
      </c>
      <c r="M77" s="395"/>
      <c r="N77" s="395">
        <f t="shared" si="0"/>
        <v>0</v>
      </c>
      <c r="O77" s="395"/>
      <c r="P77" s="151">
        <f>P68</f>
        <v>0</v>
      </c>
      <c r="Q77" s="149" t="s">
        <v>1050</v>
      </c>
      <c r="R77" s="490">
        <v>761</v>
      </c>
      <c r="S77" s="352" t="s">
        <v>1051</v>
      </c>
      <c r="T77" s="149" t="s">
        <v>1055</v>
      </c>
      <c r="U77" s="491">
        <f>ROUND(P77*R77,0)</f>
        <v>0</v>
      </c>
      <c r="V77" s="146" t="s">
        <v>1056</v>
      </c>
      <c r="W77" s="148"/>
      <c r="X77" s="457"/>
    </row>
    <row r="78" spans="2:24" ht="14.25" hidden="1" customHeight="1">
      <c r="B78" s="455"/>
      <c r="C78" s="455"/>
      <c r="D78" s="459" t="s">
        <v>1057</v>
      </c>
      <c r="E78" s="459"/>
      <c r="F78" s="459"/>
      <c r="G78" s="251"/>
      <c r="H78" s="251"/>
      <c r="I78" s="251"/>
      <c r="J78" s="353" t="s">
        <v>1025</v>
      </c>
      <c r="K78" s="394">
        <f>K68</f>
        <v>0</v>
      </c>
      <c r="L78" s="395">
        <f>ROUND(P78*R78*(U78/100),0)</f>
        <v>0</v>
      </c>
      <c r="M78" s="395"/>
      <c r="N78" s="395">
        <f t="shared" si="0"/>
        <v>0</v>
      </c>
      <c r="O78" s="395"/>
      <c r="P78" s="151">
        <f>P77</f>
        <v>0</v>
      </c>
      <c r="Q78" s="149" t="s">
        <v>1050</v>
      </c>
      <c r="R78" s="489">
        <f>R77</f>
        <v>761</v>
      </c>
      <c r="S78" s="352" t="s">
        <v>1051</v>
      </c>
      <c r="T78" s="149" t="s">
        <v>1034</v>
      </c>
      <c r="U78" s="186">
        <f>U68</f>
        <v>0</v>
      </c>
      <c r="V78" s="146" t="s">
        <v>1052</v>
      </c>
      <c r="W78" s="148"/>
      <c r="X78" s="457"/>
    </row>
    <row r="79" spans="2:24" ht="14.25" hidden="1" customHeight="1">
      <c r="B79" s="455"/>
      <c r="C79" s="455"/>
      <c r="D79" s="487" t="s">
        <v>1058</v>
      </c>
      <c r="E79" s="488"/>
      <c r="F79" s="488"/>
      <c r="G79" s="487" t="s">
        <v>1046</v>
      </c>
      <c r="H79" s="488"/>
      <c r="I79" s="488"/>
      <c r="J79" s="461" t="s">
        <v>1025</v>
      </c>
      <c r="K79" s="473">
        <f>ROUND(R74,0)</f>
        <v>0</v>
      </c>
      <c r="L79" s="492"/>
      <c r="M79" s="492"/>
      <c r="N79" s="492">
        <f t="shared" si="0"/>
        <v>0</v>
      </c>
      <c r="O79" s="492"/>
      <c r="P79" s="148"/>
      <c r="Q79" s="148"/>
      <c r="R79" s="148"/>
      <c r="S79" s="148"/>
      <c r="T79" s="148"/>
      <c r="U79" s="148"/>
      <c r="V79" s="148"/>
      <c r="W79" s="148"/>
      <c r="X79" s="457"/>
    </row>
    <row r="80" spans="2:24" ht="14.25" hidden="1" customHeight="1">
      <c r="B80" s="455"/>
      <c r="C80" s="455"/>
      <c r="D80" s="458"/>
      <c r="E80" s="458"/>
      <c r="F80" s="458"/>
      <c r="G80" s="458" t="s">
        <v>1047</v>
      </c>
      <c r="H80" s="458"/>
      <c r="I80" s="458"/>
      <c r="J80" s="468"/>
      <c r="K80" s="469"/>
      <c r="L80" s="493"/>
      <c r="M80" s="493"/>
      <c r="N80" s="493"/>
      <c r="O80" s="493"/>
      <c r="P80" s="148"/>
      <c r="Q80" s="148"/>
      <c r="R80" s="148"/>
      <c r="S80" s="148"/>
      <c r="T80" s="148"/>
      <c r="U80" s="148"/>
      <c r="V80" s="148"/>
      <c r="W80" s="148"/>
      <c r="X80" s="457"/>
    </row>
    <row r="81" spans="2:24" ht="14.25" hidden="1" customHeight="1">
      <c r="B81" s="455"/>
      <c r="C81" s="455"/>
      <c r="D81" s="309" t="s">
        <v>1059</v>
      </c>
      <c r="E81" s="309"/>
      <c r="F81" s="309"/>
      <c r="G81" s="309"/>
      <c r="H81" s="309"/>
      <c r="I81" s="309"/>
      <c r="J81" s="353" t="s">
        <v>1025</v>
      </c>
      <c r="K81" s="394">
        <f>T81</f>
        <v>0</v>
      </c>
      <c r="L81" s="494">
        <v>9830</v>
      </c>
      <c r="M81" s="494"/>
      <c r="N81" s="395">
        <f>L81*K81</f>
        <v>0</v>
      </c>
      <c r="O81" s="395"/>
      <c r="P81" s="151">
        <f>R74</f>
        <v>0</v>
      </c>
      <c r="Q81" s="149" t="s">
        <v>1034</v>
      </c>
      <c r="R81" s="150">
        <v>1.7</v>
      </c>
      <c r="S81" s="149" t="s">
        <v>1055</v>
      </c>
      <c r="T81" s="186">
        <f>ROUND(P81*R81,0)</f>
        <v>0</v>
      </c>
      <c r="U81" s="146" t="s">
        <v>1060</v>
      </c>
      <c r="V81" s="148"/>
      <c r="W81" s="148"/>
      <c r="X81" s="457"/>
    </row>
    <row r="82" spans="2:24" ht="14.25" hidden="1" customHeight="1">
      <c r="B82" s="458"/>
      <c r="C82" s="458"/>
      <c r="D82" s="309" t="s">
        <v>1061</v>
      </c>
      <c r="E82" s="309"/>
      <c r="F82" s="309"/>
      <c r="G82" s="251" t="s">
        <v>1062</v>
      </c>
      <c r="H82" s="309"/>
      <c r="I82" s="309"/>
      <c r="J82" s="353" t="s">
        <v>1025</v>
      </c>
      <c r="K82" s="394">
        <f>T81</f>
        <v>0</v>
      </c>
      <c r="L82" s="494">
        <v>6300</v>
      </c>
      <c r="M82" s="494"/>
      <c r="N82" s="395">
        <f>L82*K82</f>
        <v>0</v>
      </c>
      <c r="O82" s="395"/>
      <c r="P82" s="148"/>
      <c r="Q82" s="148"/>
      <c r="R82" s="148"/>
      <c r="S82" s="148"/>
      <c r="T82" s="148"/>
      <c r="U82" s="148"/>
      <c r="V82" s="148"/>
      <c r="W82" s="148"/>
      <c r="X82" s="457"/>
    </row>
    <row r="83" spans="2:24" ht="14.25" hidden="1" customHeight="1">
      <c r="B83" s="309" t="s">
        <v>1035</v>
      </c>
      <c r="C83" s="309"/>
      <c r="D83" s="309"/>
      <c r="E83" s="309"/>
      <c r="F83" s="309"/>
      <c r="G83" s="309"/>
      <c r="H83" s="309"/>
      <c r="I83" s="309"/>
      <c r="J83" s="353" t="s">
        <v>1036</v>
      </c>
      <c r="K83" s="406">
        <v>1</v>
      </c>
      <c r="L83" s="396"/>
      <c r="M83" s="396"/>
      <c r="N83" s="395">
        <f>(N74+N75+N76)*(R83/100)</f>
        <v>0</v>
      </c>
      <c r="O83" s="395"/>
      <c r="P83" s="146" t="s">
        <v>1063</v>
      </c>
      <c r="Q83" s="149" t="s">
        <v>1064</v>
      </c>
      <c r="R83" s="150">
        <v>3</v>
      </c>
      <c r="S83" s="148" t="s">
        <v>1038</v>
      </c>
      <c r="T83" s="148"/>
      <c r="U83" s="148"/>
      <c r="V83" s="148"/>
      <c r="W83" s="148"/>
      <c r="X83" s="457"/>
    </row>
    <row r="84" spans="2:24" ht="14.25" hidden="1" customHeight="1">
      <c r="B84" s="309"/>
      <c r="C84" s="309"/>
      <c r="D84" s="309" t="s">
        <v>606</v>
      </c>
      <c r="E84" s="309"/>
      <c r="F84" s="309"/>
      <c r="G84" s="309"/>
      <c r="H84" s="309"/>
      <c r="I84" s="309"/>
      <c r="J84" s="434"/>
      <c r="K84" s="394">
        <f>'[1]日数 (1)'!D129</f>
        <v>0</v>
      </c>
      <c r="L84" s="425">
        <v>0</v>
      </c>
      <c r="M84" s="420"/>
      <c r="N84" s="395">
        <f>SUM(N74:O83)</f>
        <v>0</v>
      </c>
      <c r="O84" s="395"/>
      <c r="P84" s="478"/>
      <c r="Q84" s="478"/>
      <c r="R84" s="478"/>
      <c r="S84" s="478"/>
      <c r="T84" s="478"/>
      <c r="U84" s="478"/>
      <c r="V84" s="478"/>
      <c r="W84" s="478"/>
      <c r="X84" s="446"/>
    </row>
    <row r="85" spans="2:24" ht="14.25" hidden="1" customHeight="1"/>
    <row r="86" spans="2:24" ht="14.25" hidden="1" customHeight="1"/>
    <row r="87" spans="2:24" ht="14.25" customHeight="1">
      <c r="B87" s="143" t="s">
        <v>1065</v>
      </c>
      <c r="V87" s="159"/>
    </row>
    <row r="88" spans="2:24" ht="14.25" customHeight="1">
      <c r="B88" s="309" t="s">
        <v>1010</v>
      </c>
      <c r="C88" s="309"/>
      <c r="D88" s="251" t="s">
        <v>930</v>
      </c>
      <c r="E88" s="309"/>
      <c r="F88" s="309"/>
      <c r="G88" s="309" t="s">
        <v>1011</v>
      </c>
      <c r="H88" s="309"/>
      <c r="I88" s="309"/>
      <c r="J88" s="353" t="s">
        <v>931</v>
      </c>
      <c r="K88" s="353" t="s">
        <v>932</v>
      </c>
      <c r="L88" s="309" t="s">
        <v>1012</v>
      </c>
      <c r="M88" s="309"/>
      <c r="N88" s="309" t="s">
        <v>1013</v>
      </c>
      <c r="O88" s="309"/>
      <c r="P88" s="309" t="s">
        <v>1014</v>
      </c>
      <c r="Q88" s="309"/>
      <c r="R88" s="309"/>
      <c r="S88" s="309"/>
      <c r="T88" s="309"/>
      <c r="U88" s="309"/>
      <c r="V88" s="309"/>
      <c r="W88" s="309"/>
      <c r="X88" s="309"/>
    </row>
    <row r="89" spans="2:24" ht="14.25" customHeight="1">
      <c r="B89" s="459" t="s">
        <v>1015</v>
      </c>
      <c r="C89" s="459"/>
      <c r="D89" s="309" t="s">
        <v>1016</v>
      </c>
      <c r="E89" s="309"/>
      <c r="F89" s="309"/>
      <c r="G89" s="444" t="s">
        <v>1017</v>
      </c>
      <c r="H89" s="445">
        <v>1</v>
      </c>
      <c r="I89" s="446" t="s">
        <v>1018</v>
      </c>
      <c r="J89" s="353" t="s">
        <v>1019</v>
      </c>
      <c r="K89" s="394">
        <f>H89*R89</f>
        <v>6.2</v>
      </c>
      <c r="L89" s="425">
        <f>$L$234</f>
        <v>33710</v>
      </c>
      <c r="M89" s="448"/>
      <c r="N89" s="395">
        <f>L89*K89</f>
        <v>209002</v>
      </c>
      <c r="O89" s="395"/>
      <c r="P89" s="224" t="s">
        <v>1053</v>
      </c>
      <c r="Q89" s="224"/>
      <c r="R89" s="450">
        <f>'[1]日数 (1)'!D219</f>
        <v>6.2</v>
      </c>
      <c r="S89" s="453" t="s">
        <v>183</v>
      </c>
      <c r="T89" s="318" t="s">
        <v>1022</v>
      </c>
      <c r="U89" s="452" t="s">
        <v>1023</v>
      </c>
      <c r="V89" s="452"/>
      <c r="W89" s="453"/>
      <c r="X89" s="454"/>
    </row>
    <row r="90" spans="2:24" ht="14.25" customHeight="1">
      <c r="B90" s="455"/>
      <c r="C90" s="455"/>
      <c r="D90" s="309" t="s">
        <v>1024</v>
      </c>
      <c r="E90" s="309"/>
      <c r="F90" s="309"/>
      <c r="G90" s="444" t="s">
        <v>1017</v>
      </c>
      <c r="H90" s="445">
        <v>4</v>
      </c>
      <c r="I90" s="446" t="s">
        <v>1018</v>
      </c>
      <c r="J90" s="353" t="s">
        <v>1025</v>
      </c>
      <c r="K90" s="394">
        <f>H90*R89</f>
        <v>24.8</v>
      </c>
      <c r="L90" s="425">
        <f>$L$235</f>
        <v>28930</v>
      </c>
      <c r="M90" s="448"/>
      <c r="N90" s="395">
        <f>L90*K90</f>
        <v>717464</v>
      </c>
      <c r="O90" s="395"/>
      <c r="P90" s="148"/>
      <c r="Q90" s="148"/>
      <c r="R90" s="148"/>
      <c r="S90" s="148"/>
      <c r="T90" s="148"/>
      <c r="U90" s="148"/>
      <c r="V90" s="148"/>
      <c r="W90" s="148"/>
      <c r="X90" s="457"/>
    </row>
    <row r="91" spans="2:24" ht="14.25" customHeight="1">
      <c r="B91" s="458"/>
      <c r="C91" s="458"/>
      <c r="D91" s="309" t="s">
        <v>1026</v>
      </c>
      <c r="E91" s="309"/>
      <c r="F91" s="309"/>
      <c r="G91" s="444" t="s">
        <v>1017</v>
      </c>
      <c r="H91" s="445">
        <v>1</v>
      </c>
      <c r="I91" s="446" t="s">
        <v>1018</v>
      </c>
      <c r="J91" s="353" t="s">
        <v>1025</v>
      </c>
      <c r="K91" s="394">
        <f>H91*R89</f>
        <v>6.2</v>
      </c>
      <c r="L91" s="425">
        <f>$L$236</f>
        <v>18800</v>
      </c>
      <c r="M91" s="448"/>
      <c r="N91" s="395">
        <f>L91*K91</f>
        <v>116560</v>
      </c>
      <c r="O91" s="395"/>
      <c r="P91" s="148"/>
      <c r="Q91" s="148"/>
      <c r="R91" s="148"/>
      <c r="S91" s="148"/>
      <c r="T91" s="148"/>
      <c r="U91" s="148"/>
      <c r="V91" s="148"/>
      <c r="W91" s="148"/>
      <c r="X91" s="457"/>
    </row>
    <row r="92" spans="2:24" ht="14.25" customHeight="1">
      <c r="B92" s="459" t="s">
        <v>1027</v>
      </c>
      <c r="C92" s="459"/>
      <c r="D92" s="251" t="s">
        <v>1066</v>
      </c>
      <c r="E92" s="309"/>
      <c r="F92" s="309"/>
      <c r="G92" s="495" t="str">
        <f>"Ｈ－"&amp;'[1]日数 (1)'!E198</f>
        <v>Ｈ－300</v>
      </c>
      <c r="H92" s="496"/>
      <c r="I92" s="497"/>
      <c r="J92" s="353" t="s">
        <v>183</v>
      </c>
      <c r="K92" s="394">
        <f>ROUND('[1]基本 (1)'!D147,1)</f>
        <v>180</v>
      </c>
      <c r="L92" s="395">
        <f>U92</f>
        <v>8843</v>
      </c>
      <c r="M92" s="395"/>
      <c r="N92" s="395">
        <f>L92*K92</f>
        <v>1591740</v>
      </c>
      <c r="O92" s="395"/>
      <c r="P92" s="151">
        <f>ROUND('[1]日数 (1)'!D205,1)</f>
        <v>17.899999999999999</v>
      </c>
      <c r="Q92" s="149" t="s">
        <v>1050</v>
      </c>
      <c r="R92" s="490">
        <v>494</v>
      </c>
      <c r="S92" s="352" t="s">
        <v>1051</v>
      </c>
      <c r="T92" s="149" t="s">
        <v>1055</v>
      </c>
      <c r="U92" s="491">
        <f>ROUND(P92*R92,0)</f>
        <v>8843</v>
      </c>
      <c r="V92" s="146" t="s">
        <v>1056</v>
      </c>
      <c r="W92" s="148"/>
      <c r="X92" s="457"/>
    </row>
    <row r="93" spans="2:24" ht="14.25" customHeight="1">
      <c r="B93" s="455"/>
      <c r="C93" s="455"/>
      <c r="D93" s="487" t="s">
        <v>1058</v>
      </c>
      <c r="E93" s="488"/>
      <c r="F93" s="488"/>
      <c r="G93" s="487" t="s">
        <v>1046</v>
      </c>
      <c r="H93" s="488"/>
      <c r="I93" s="488"/>
      <c r="J93" s="461" t="s">
        <v>1025</v>
      </c>
      <c r="K93" s="473">
        <f>ROUND(R89,0)</f>
        <v>6</v>
      </c>
      <c r="L93" s="492">
        <f>VLOOKUP("全国平均",[1]クレーン単価!A1:O57,4,FALSE)</f>
        <v>49000</v>
      </c>
      <c r="M93" s="492"/>
      <c r="N93" s="492">
        <f>L93*K93</f>
        <v>294000</v>
      </c>
      <c r="O93" s="492"/>
      <c r="P93" s="148"/>
      <c r="Q93" s="148"/>
      <c r="R93" s="148"/>
      <c r="S93" s="148"/>
      <c r="T93" s="148"/>
      <c r="U93" s="148"/>
      <c r="V93" s="148"/>
      <c r="W93" s="148"/>
      <c r="X93" s="457"/>
    </row>
    <row r="94" spans="2:24" ht="14.25" customHeight="1">
      <c r="B94" s="455"/>
      <c r="C94" s="455"/>
      <c r="D94" s="458"/>
      <c r="E94" s="458"/>
      <c r="F94" s="458"/>
      <c r="G94" s="458" t="s">
        <v>1047</v>
      </c>
      <c r="H94" s="458"/>
      <c r="I94" s="458"/>
      <c r="J94" s="468"/>
      <c r="K94" s="469"/>
      <c r="L94" s="493"/>
      <c r="M94" s="493"/>
      <c r="N94" s="493"/>
      <c r="O94" s="493"/>
      <c r="P94" s="148"/>
      <c r="Q94" s="148"/>
      <c r="R94" s="148"/>
      <c r="S94" s="148"/>
      <c r="T94" s="148"/>
      <c r="U94" s="148"/>
      <c r="V94" s="148"/>
      <c r="W94" s="148"/>
      <c r="X94" s="457"/>
    </row>
    <row r="95" spans="2:24" ht="14.25" customHeight="1">
      <c r="B95" s="455"/>
      <c r="C95" s="455"/>
      <c r="D95" s="309" t="s">
        <v>1059</v>
      </c>
      <c r="E95" s="309"/>
      <c r="F95" s="309"/>
      <c r="G95" s="309"/>
      <c r="H95" s="309"/>
      <c r="I95" s="309"/>
      <c r="J95" s="353" t="s">
        <v>1025</v>
      </c>
      <c r="K95" s="394">
        <f>T95</f>
        <v>11</v>
      </c>
      <c r="L95" s="494">
        <v>9830</v>
      </c>
      <c r="M95" s="494"/>
      <c r="N95" s="395">
        <f>L95*K95</f>
        <v>108130</v>
      </c>
      <c r="O95" s="395"/>
      <c r="P95" s="151">
        <f>R89</f>
        <v>6.2</v>
      </c>
      <c r="Q95" s="149" t="s">
        <v>1034</v>
      </c>
      <c r="R95" s="150">
        <v>1.7</v>
      </c>
      <c r="S95" s="149" t="s">
        <v>1055</v>
      </c>
      <c r="T95" s="186">
        <f>ROUND(P95*R95,0)</f>
        <v>11</v>
      </c>
      <c r="U95" s="146" t="s">
        <v>1060</v>
      </c>
      <c r="V95" s="148"/>
      <c r="W95" s="148"/>
      <c r="X95" s="457"/>
    </row>
    <row r="96" spans="2:24" ht="14.25" customHeight="1">
      <c r="B96" s="458"/>
      <c r="C96" s="458"/>
      <c r="D96" s="309" t="s">
        <v>1061</v>
      </c>
      <c r="E96" s="309"/>
      <c r="F96" s="309"/>
      <c r="G96" s="251" t="s">
        <v>1067</v>
      </c>
      <c r="H96" s="309"/>
      <c r="I96" s="309"/>
      <c r="J96" s="353" t="s">
        <v>1025</v>
      </c>
      <c r="K96" s="394">
        <f>T95</f>
        <v>11</v>
      </c>
      <c r="L96" s="494">
        <v>6300</v>
      </c>
      <c r="M96" s="494"/>
      <c r="N96" s="395">
        <f>L96*K96</f>
        <v>69300</v>
      </c>
      <c r="O96" s="395"/>
      <c r="P96" s="148"/>
      <c r="Q96" s="148"/>
      <c r="R96" s="148"/>
      <c r="S96" s="148"/>
      <c r="T96" s="148"/>
      <c r="U96" s="148"/>
      <c r="V96" s="148"/>
      <c r="W96" s="148"/>
      <c r="X96" s="457"/>
    </row>
    <row r="97" spans="2:24" ht="14.25" customHeight="1">
      <c r="B97" s="309" t="s">
        <v>1035</v>
      </c>
      <c r="C97" s="309"/>
      <c r="D97" s="309"/>
      <c r="E97" s="309"/>
      <c r="F97" s="309"/>
      <c r="G97" s="309"/>
      <c r="H97" s="309"/>
      <c r="I97" s="309"/>
      <c r="J97" s="353" t="s">
        <v>1036</v>
      </c>
      <c r="K97" s="406">
        <v>1</v>
      </c>
      <c r="L97" s="396"/>
      <c r="M97" s="396"/>
      <c r="N97" s="395">
        <f>(N89+N90+N91)*(R97/100)</f>
        <v>52151.3</v>
      </c>
      <c r="O97" s="395"/>
      <c r="P97" s="146" t="s">
        <v>1037</v>
      </c>
      <c r="Q97" s="149" t="s">
        <v>1034</v>
      </c>
      <c r="R97" s="150">
        <v>5</v>
      </c>
      <c r="S97" s="148" t="s">
        <v>1038</v>
      </c>
      <c r="T97" s="148"/>
      <c r="U97" s="148"/>
      <c r="V97" s="148"/>
      <c r="W97" s="148"/>
      <c r="X97" s="457"/>
    </row>
    <row r="98" spans="2:24" ht="14.25" customHeight="1">
      <c r="B98" s="309"/>
      <c r="C98" s="309"/>
      <c r="D98" s="309" t="s">
        <v>606</v>
      </c>
      <c r="E98" s="309"/>
      <c r="F98" s="309"/>
      <c r="G98" s="309"/>
      <c r="H98" s="309"/>
      <c r="I98" s="309"/>
      <c r="J98" s="434"/>
      <c r="K98" s="394">
        <f>'[1]日数 (1)'!D205</f>
        <v>17.855999999999998</v>
      </c>
      <c r="L98" s="425">
        <f>INT(Cel工事_送出しヤード工軌条桁工_金額計 / Cel工事_送出しヤード工軌条桁工_数量計)</f>
        <v>176878</v>
      </c>
      <c r="M98" s="420"/>
      <c r="N98" s="395">
        <f>SUM(N89:O97)</f>
        <v>3158347.3</v>
      </c>
      <c r="O98" s="395"/>
      <c r="P98" s="478"/>
      <c r="Q98" s="478"/>
      <c r="R98" s="478"/>
      <c r="S98" s="478"/>
      <c r="T98" s="478"/>
      <c r="U98" s="478"/>
      <c r="V98" s="478"/>
      <c r="W98" s="478"/>
      <c r="X98" s="446"/>
    </row>
    <row r="99" spans="2:24" ht="14.25" customHeight="1"/>
    <row r="100" spans="2:24" ht="14.25" customHeight="1"/>
    <row r="101" spans="2:24" ht="14.25" customHeight="1">
      <c r="B101" s="143" t="s">
        <v>1068</v>
      </c>
      <c r="V101" s="159"/>
    </row>
    <row r="102" spans="2:24" ht="14.25" customHeight="1">
      <c r="B102" s="309" t="s">
        <v>1010</v>
      </c>
      <c r="C102" s="309"/>
      <c r="D102" s="251" t="s">
        <v>930</v>
      </c>
      <c r="E102" s="309"/>
      <c r="F102" s="309"/>
      <c r="G102" s="309" t="s">
        <v>1011</v>
      </c>
      <c r="H102" s="309"/>
      <c r="I102" s="309"/>
      <c r="J102" s="353" t="s">
        <v>931</v>
      </c>
      <c r="K102" s="353" t="s">
        <v>932</v>
      </c>
      <c r="L102" s="309" t="s">
        <v>1012</v>
      </c>
      <c r="M102" s="309"/>
      <c r="N102" s="309" t="s">
        <v>1013</v>
      </c>
      <c r="O102" s="309"/>
      <c r="P102" s="309" t="s">
        <v>1014</v>
      </c>
      <c r="Q102" s="309"/>
      <c r="R102" s="309"/>
      <c r="S102" s="309"/>
      <c r="T102" s="309"/>
      <c r="U102" s="309"/>
      <c r="V102" s="309"/>
      <c r="W102" s="309"/>
      <c r="X102" s="309"/>
    </row>
    <row r="103" spans="2:24" ht="14.25" customHeight="1">
      <c r="B103" s="459" t="s">
        <v>1015</v>
      </c>
      <c r="C103" s="459"/>
      <c r="D103" s="309" t="s">
        <v>1016</v>
      </c>
      <c r="E103" s="309"/>
      <c r="F103" s="309"/>
      <c r="G103" s="444" t="s">
        <v>1017</v>
      </c>
      <c r="H103" s="445">
        <v>1</v>
      </c>
      <c r="I103" s="446" t="s">
        <v>1018</v>
      </c>
      <c r="J103" s="353" t="s">
        <v>1019</v>
      </c>
      <c r="K103" s="394">
        <f>H103*R103</f>
        <v>4</v>
      </c>
      <c r="L103" s="425">
        <f>$L$234</f>
        <v>33710</v>
      </c>
      <c r="M103" s="448"/>
      <c r="N103" s="395">
        <f>L103*K103</f>
        <v>134840</v>
      </c>
      <c r="O103" s="395"/>
      <c r="P103" s="224" t="s">
        <v>1053</v>
      </c>
      <c r="Q103" s="224"/>
      <c r="R103" s="450">
        <f>'[1]日数 (1)'!D239</f>
        <v>4</v>
      </c>
      <c r="S103" s="453" t="s">
        <v>183</v>
      </c>
      <c r="T103" s="318" t="s">
        <v>1022</v>
      </c>
      <c r="U103" s="452" t="s">
        <v>1023</v>
      </c>
      <c r="V103" s="452"/>
      <c r="W103" s="453"/>
      <c r="X103" s="454"/>
    </row>
    <row r="104" spans="2:24" ht="14.25" customHeight="1">
      <c r="B104" s="455"/>
      <c r="C104" s="455"/>
      <c r="D104" s="309" t="s">
        <v>1024</v>
      </c>
      <c r="E104" s="309"/>
      <c r="F104" s="309"/>
      <c r="G104" s="444" t="s">
        <v>1017</v>
      </c>
      <c r="H104" s="445">
        <v>4</v>
      </c>
      <c r="I104" s="446" t="s">
        <v>1018</v>
      </c>
      <c r="J104" s="353" t="s">
        <v>1025</v>
      </c>
      <c r="K104" s="394">
        <f>H104*R103</f>
        <v>16</v>
      </c>
      <c r="L104" s="425">
        <f>$L$235</f>
        <v>28930</v>
      </c>
      <c r="M104" s="448"/>
      <c r="N104" s="395">
        <f>L104*K104</f>
        <v>462880</v>
      </c>
      <c r="O104" s="395"/>
      <c r="P104" s="148"/>
      <c r="Q104" s="148"/>
      <c r="R104" s="148"/>
      <c r="S104" s="148"/>
      <c r="T104" s="148"/>
      <c r="U104" s="148"/>
      <c r="V104" s="148"/>
      <c r="W104" s="148"/>
      <c r="X104" s="457"/>
    </row>
    <row r="105" spans="2:24" ht="14.25" customHeight="1">
      <c r="B105" s="458"/>
      <c r="C105" s="458"/>
      <c r="D105" s="309" t="s">
        <v>1026</v>
      </c>
      <c r="E105" s="309"/>
      <c r="F105" s="309"/>
      <c r="G105" s="444" t="s">
        <v>1017</v>
      </c>
      <c r="H105" s="445">
        <v>1</v>
      </c>
      <c r="I105" s="446" t="s">
        <v>1018</v>
      </c>
      <c r="J105" s="353" t="s">
        <v>1025</v>
      </c>
      <c r="K105" s="394">
        <f>H105*R103</f>
        <v>4</v>
      </c>
      <c r="L105" s="425">
        <f>$L$236</f>
        <v>18800</v>
      </c>
      <c r="M105" s="448"/>
      <c r="N105" s="395">
        <f>L105*K105</f>
        <v>75200</v>
      </c>
      <c r="O105" s="395"/>
      <c r="P105" s="148"/>
      <c r="Q105" s="148"/>
      <c r="R105" s="148"/>
      <c r="S105" s="148"/>
      <c r="T105" s="148"/>
      <c r="U105" s="148"/>
      <c r="V105" s="148"/>
      <c r="W105" s="148"/>
      <c r="X105" s="457"/>
    </row>
    <row r="106" spans="2:24" ht="14.25" customHeight="1">
      <c r="B106" s="459" t="s">
        <v>1027</v>
      </c>
      <c r="C106" s="459"/>
      <c r="D106" s="251" t="s">
        <v>1069</v>
      </c>
      <c r="E106" s="309"/>
      <c r="F106" s="309"/>
      <c r="G106" s="389" t="s">
        <v>1070</v>
      </c>
      <c r="H106" s="432"/>
      <c r="I106" s="433"/>
      <c r="J106" s="353" t="s">
        <v>183</v>
      </c>
      <c r="K106" s="394">
        <f>ROUND('[1]基本 (1)'!D157,1)</f>
        <v>169</v>
      </c>
      <c r="L106" s="395">
        <f>U106</f>
        <v>1984</v>
      </c>
      <c r="M106" s="395"/>
      <c r="N106" s="395">
        <f>L106*K106</f>
        <v>335296</v>
      </c>
      <c r="O106" s="395"/>
      <c r="P106" s="151">
        <f>'[1]日数 (1)'!D229</f>
        <v>160</v>
      </c>
      <c r="Q106" s="149" t="s">
        <v>1071</v>
      </c>
      <c r="R106" s="489">
        <v>1240</v>
      </c>
      <c r="S106" s="352" t="s">
        <v>1072</v>
      </c>
      <c r="T106" s="149" t="s">
        <v>1055</v>
      </c>
      <c r="U106" s="491">
        <f>ROUND(P106*R106/100,0)</f>
        <v>1984</v>
      </c>
      <c r="V106" s="146" t="s">
        <v>1056</v>
      </c>
      <c r="W106" s="148"/>
      <c r="X106" s="457"/>
    </row>
    <row r="107" spans="2:24" ht="14.25" customHeight="1">
      <c r="B107" s="455"/>
      <c r="C107" s="455"/>
      <c r="D107" s="487" t="s">
        <v>1058</v>
      </c>
      <c r="E107" s="488"/>
      <c r="F107" s="488"/>
      <c r="G107" s="487" t="s">
        <v>1046</v>
      </c>
      <c r="H107" s="488"/>
      <c r="I107" s="488"/>
      <c r="J107" s="461" t="s">
        <v>1025</v>
      </c>
      <c r="K107" s="473">
        <f>ROUND(R103,0)</f>
        <v>4</v>
      </c>
      <c r="L107" s="492">
        <f>VLOOKUP("全国平均",[1]クレーン単価!A1:O57,4,FALSE)</f>
        <v>49000</v>
      </c>
      <c r="M107" s="492"/>
      <c r="N107" s="492">
        <f>L107*K107</f>
        <v>196000</v>
      </c>
      <c r="O107" s="492"/>
      <c r="P107" s="148"/>
      <c r="Q107" s="148"/>
      <c r="R107" s="148"/>
      <c r="S107" s="148"/>
      <c r="T107" s="148"/>
      <c r="U107" s="148"/>
      <c r="V107" s="148"/>
      <c r="W107" s="148"/>
      <c r="X107" s="457"/>
    </row>
    <row r="108" spans="2:24" ht="14.25" customHeight="1">
      <c r="B108" s="455"/>
      <c r="C108" s="455"/>
      <c r="D108" s="458"/>
      <c r="E108" s="458"/>
      <c r="F108" s="458"/>
      <c r="G108" s="458" t="s">
        <v>1047</v>
      </c>
      <c r="H108" s="458"/>
      <c r="I108" s="458"/>
      <c r="J108" s="468"/>
      <c r="K108" s="469"/>
      <c r="L108" s="493"/>
      <c r="M108" s="493"/>
      <c r="N108" s="493"/>
      <c r="O108" s="493"/>
      <c r="P108" s="148"/>
      <c r="Q108" s="148"/>
      <c r="R108" s="148"/>
      <c r="S108" s="148"/>
      <c r="T108" s="148"/>
      <c r="U108" s="148"/>
      <c r="V108" s="148"/>
      <c r="W108" s="148"/>
      <c r="X108" s="457"/>
    </row>
    <row r="109" spans="2:24" ht="14.25" customHeight="1">
      <c r="B109" s="455"/>
      <c r="C109" s="455"/>
      <c r="D109" s="309" t="s">
        <v>1059</v>
      </c>
      <c r="E109" s="309"/>
      <c r="F109" s="309"/>
      <c r="G109" s="309"/>
      <c r="H109" s="309"/>
      <c r="I109" s="309"/>
      <c r="J109" s="353" t="s">
        <v>1025</v>
      </c>
      <c r="K109" s="394">
        <f>T109</f>
        <v>7</v>
      </c>
      <c r="L109" s="494">
        <v>9830</v>
      </c>
      <c r="M109" s="494"/>
      <c r="N109" s="395">
        <f>L109*K109</f>
        <v>68810</v>
      </c>
      <c r="O109" s="395"/>
      <c r="P109" s="151">
        <f>R103</f>
        <v>4</v>
      </c>
      <c r="Q109" s="149" t="s">
        <v>1034</v>
      </c>
      <c r="R109" s="150">
        <v>1.7</v>
      </c>
      <c r="S109" s="149" t="s">
        <v>1055</v>
      </c>
      <c r="T109" s="186">
        <f>ROUND(P109*R109,0)</f>
        <v>7</v>
      </c>
      <c r="U109" s="146" t="s">
        <v>1060</v>
      </c>
      <c r="V109" s="148"/>
      <c r="W109" s="148"/>
      <c r="X109" s="457"/>
    </row>
    <row r="110" spans="2:24" ht="14.25" customHeight="1">
      <c r="B110" s="458"/>
      <c r="C110" s="458"/>
      <c r="D110" s="309" t="s">
        <v>1061</v>
      </c>
      <c r="E110" s="309"/>
      <c r="F110" s="309"/>
      <c r="G110" s="251" t="s">
        <v>1062</v>
      </c>
      <c r="H110" s="309"/>
      <c r="I110" s="309"/>
      <c r="J110" s="353" t="s">
        <v>1025</v>
      </c>
      <c r="K110" s="394">
        <f>T109</f>
        <v>7</v>
      </c>
      <c r="L110" s="494">
        <v>6300</v>
      </c>
      <c r="M110" s="494"/>
      <c r="N110" s="395">
        <f>L110*K110</f>
        <v>44100</v>
      </c>
      <c r="O110" s="395"/>
      <c r="P110" s="148"/>
      <c r="Q110" s="148"/>
      <c r="R110" s="148"/>
      <c r="S110" s="148"/>
      <c r="T110" s="148"/>
      <c r="U110" s="148"/>
      <c r="V110" s="148"/>
      <c r="W110" s="148"/>
      <c r="X110" s="457"/>
    </row>
    <row r="111" spans="2:24" ht="14.25" customHeight="1">
      <c r="B111" s="309" t="s">
        <v>1035</v>
      </c>
      <c r="C111" s="309"/>
      <c r="D111" s="309"/>
      <c r="E111" s="309"/>
      <c r="F111" s="309"/>
      <c r="G111" s="309"/>
      <c r="H111" s="309"/>
      <c r="I111" s="309"/>
      <c r="J111" s="353" t="s">
        <v>1036</v>
      </c>
      <c r="K111" s="406">
        <v>1</v>
      </c>
      <c r="L111" s="396"/>
      <c r="M111" s="396"/>
      <c r="N111" s="395">
        <f>(N103+N104+N105)*(R111/100)</f>
        <v>26916.799999999999</v>
      </c>
      <c r="O111" s="395"/>
      <c r="P111" s="146" t="s">
        <v>1037</v>
      </c>
      <c r="Q111" s="149" t="s">
        <v>1064</v>
      </c>
      <c r="R111" s="150">
        <v>4</v>
      </c>
      <c r="S111" s="148" t="s">
        <v>1038</v>
      </c>
      <c r="T111" s="148"/>
      <c r="U111" s="148"/>
      <c r="V111" s="148"/>
      <c r="W111" s="148"/>
      <c r="X111" s="457"/>
    </row>
    <row r="112" spans="2:24" ht="14.25" customHeight="1">
      <c r="B112" s="309"/>
      <c r="C112" s="309"/>
      <c r="D112" s="309" t="s">
        <v>606</v>
      </c>
      <c r="E112" s="309"/>
      <c r="F112" s="309"/>
      <c r="G112" s="309"/>
      <c r="H112" s="309"/>
      <c r="I112" s="309"/>
      <c r="J112" s="434"/>
      <c r="K112" s="394">
        <f>'[1]日数 (1)'!D229</f>
        <v>160</v>
      </c>
      <c r="L112" s="425">
        <f>INT(Cel工事_送出しヤード工軌条設備工_金額計 / Cel工事_送出しヤード工軌条設備工_数量計)</f>
        <v>8400</v>
      </c>
      <c r="M112" s="420"/>
      <c r="N112" s="395">
        <f>SUM(N103:O111)</f>
        <v>1344042.8</v>
      </c>
      <c r="O112" s="395"/>
      <c r="P112" s="478"/>
      <c r="Q112" s="478"/>
      <c r="R112" s="478"/>
      <c r="S112" s="478"/>
      <c r="T112" s="478"/>
      <c r="U112" s="478"/>
      <c r="V112" s="478"/>
      <c r="W112" s="478"/>
      <c r="X112" s="446"/>
    </row>
    <row r="113" spans="2:24" ht="14.25" customHeight="1"/>
    <row r="114" spans="2:24" ht="14.25" customHeight="1"/>
    <row r="115" spans="2:24" ht="14.25" customHeight="1">
      <c r="B115" s="143" t="s">
        <v>1073</v>
      </c>
      <c r="V115" s="159"/>
      <c r="W115" s="157"/>
    </row>
    <row r="116" spans="2:24" ht="14.25" customHeight="1">
      <c r="B116" s="309" t="s">
        <v>1010</v>
      </c>
      <c r="C116" s="309"/>
      <c r="D116" s="251" t="s">
        <v>930</v>
      </c>
      <c r="E116" s="309"/>
      <c r="F116" s="309"/>
      <c r="G116" s="309" t="s">
        <v>1011</v>
      </c>
      <c r="H116" s="309"/>
      <c r="I116" s="309"/>
      <c r="J116" s="353" t="s">
        <v>931</v>
      </c>
      <c r="K116" s="353" t="s">
        <v>932</v>
      </c>
      <c r="L116" s="309" t="s">
        <v>1012</v>
      </c>
      <c r="M116" s="309"/>
      <c r="N116" s="309" t="s">
        <v>1013</v>
      </c>
      <c r="O116" s="309"/>
      <c r="P116" s="309" t="s">
        <v>1014</v>
      </c>
      <c r="Q116" s="309"/>
      <c r="R116" s="309"/>
      <c r="S116" s="309"/>
      <c r="T116" s="309"/>
      <c r="U116" s="309"/>
      <c r="V116" s="309"/>
      <c r="W116" s="309"/>
      <c r="X116" s="309"/>
    </row>
    <row r="117" spans="2:24" ht="14.25" customHeight="1">
      <c r="B117" s="442" t="s">
        <v>1015</v>
      </c>
      <c r="C117" s="443"/>
      <c r="D117" s="389" t="s">
        <v>1074</v>
      </c>
      <c r="E117" s="390"/>
      <c r="F117" s="391"/>
      <c r="G117" s="444" t="s">
        <v>1017</v>
      </c>
      <c r="H117" s="445">
        <v>0.2</v>
      </c>
      <c r="I117" s="446" t="s">
        <v>1018</v>
      </c>
      <c r="J117" s="353" t="s">
        <v>1019</v>
      </c>
      <c r="K117" s="394">
        <f>ROUND(P117*R117*T117/100,1)</f>
        <v>0.5</v>
      </c>
      <c r="L117" s="425">
        <f>VLOOKUP("全国平均",[1]労務単価!A1:F57,6,FALSE)</f>
        <v>24300</v>
      </c>
      <c r="M117" s="448"/>
      <c r="N117" s="425">
        <f>K117*L117</f>
        <v>12150</v>
      </c>
      <c r="O117" s="448"/>
      <c r="P117" s="498">
        <f>H117</f>
        <v>0.2</v>
      </c>
      <c r="Q117" s="305" t="s">
        <v>1075</v>
      </c>
      <c r="R117" s="499">
        <f>'[1]日数 (1)'!H253</f>
        <v>28</v>
      </c>
      <c r="S117" s="305" t="s">
        <v>1076</v>
      </c>
      <c r="T117" s="500">
        <v>9.3000000000000007</v>
      </c>
      <c r="U117" s="501" t="s">
        <v>1077</v>
      </c>
      <c r="V117" s="501"/>
      <c r="W117" s="501"/>
      <c r="X117" s="457"/>
    </row>
    <row r="118" spans="2:24" ht="14.25" customHeight="1">
      <c r="B118" s="404"/>
      <c r="C118" s="405"/>
      <c r="D118" s="389" t="s">
        <v>1078</v>
      </c>
      <c r="E118" s="390"/>
      <c r="F118" s="391"/>
      <c r="G118" s="444" t="s">
        <v>1017</v>
      </c>
      <c r="H118" s="445">
        <v>0.5</v>
      </c>
      <c r="I118" s="446" t="s">
        <v>1018</v>
      </c>
      <c r="J118" s="353" t="s">
        <v>1019</v>
      </c>
      <c r="K118" s="394">
        <f>ROUND(P118*R118*T118/100,1)</f>
        <v>1.3</v>
      </c>
      <c r="L118" s="425">
        <f>VLOOKUP("全国平均",[1]労務単価!A1:D57,4,FALSE)</f>
        <v>18800</v>
      </c>
      <c r="M118" s="448"/>
      <c r="N118" s="425">
        <f>K118*L118</f>
        <v>24440</v>
      </c>
      <c r="O118" s="448"/>
      <c r="P118" s="498">
        <f>H118</f>
        <v>0.5</v>
      </c>
      <c r="Q118" s="305" t="s">
        <v>1075</v>
      </c>
      <c r="R118" s="499">
        <f>'[1]日数 (1)'!H253</f>
        <v>28</v>
      </c>
      <c r="S118" s="305" t="s">
        <v>1076</v>
      </c>
      <c r="T118" s="500">
        <v>9.3000000000000007</v>
      </c>
      <c r="U118" s="501" t="s">
        <v>1077</v>
      </c>
      <c r="V118" s="501"/>
      <c r="W118" s="501"/>
      <c r="X118" s="457"/>
    </row>
    <row r="119" spans="2:24" ht="14.25" customHeight="1">
      <c r="B119" s="442" t="s">
        <v>1027</v>
      </c>
      <c r="C119" s="443"/>
      <c r="D119" s="389" t="s">
        <v>1079</v>
      </c>
      <c r="E119" s="390"/>
      <c r="F119" s="391"/>
      <c r="G119" s="389" t="s">
        <v>1080</v>
      </c>
      <c r="H119" s="432"/>
      <c r="I119" s="433"/>
      <c r="J119" s="472" t="s">
        <v>1081</v>
      </c>
      <c r="K119" s="473">
        <f>R118</f>
        <v>28</v>
      </c>
      <c r="L119" s="425">
        <f>P119*R119</f>
        <v>10620</v>
      </c>
      <c r="M119" s="448"/>
      <c r="N119" s="425">
        <f>K119*L119</f>
        <v>297360</v>
      </c>
      <c r="O119" s="448"/>
      <c r="P119" s="498">
        <f>ROUND('[1]基本 (1)'!D147,1)</f>
        <v>180</v>
      </c>
      <c r="Q119" s="305" t="s">
        <v>1082</v>
      </c>
      <c r="R119" s="502">
        <v>59</v>
      </c>
      <c r="S119" s="240" t="s">
        <v>1083</v>
      </c>
      <c r="T119" s="240"/>
      <c r="U119" s="146"/>
      <c r="V119" s="146"/>
      <c r="W119" s="148"/>
      <c r="X119" s="457"/>
    </row>
    <row r="120" spans="2:24" ht="14.25" customHeight="1">
      <c r="B120" s="402"/>
      <c r="C120" s="403"/>
      <c r="D120" s="389" t="s">
        <v>1084</v>
      </c>
      <c r="E120" s="390"/>
      <c r="F120" s="391"/>
      <c r="G120" s="389"/>
      <c r="H120" s="432"/>
      <c r="I120" s="433"/>
      <c r="J120" s="472" t="s">
        <v>1081</v>
      </c>
      <c r="K120" s="503">
        <f>R118</f>
        <v>28</v>
      </c>
      <c r="L120" s="425">
        <v>1000</v>
      </c>
      <c r="M120" s="448"/>
      <c r="N120" s="425">
        <f>K120*L120</f>
        <v>28000</v>
      </c>
      <c r="O120" s="448"/>
      <c r="P120" s="504"/>
      <c r="Q120" s="305"/>
      <c r="R120" s="305"/>
      <c r="S120" s="166"/>
      <c r="T120" s="166"/>
      <c r="U120" s="146"/>
      <c r="V120" s="146"/>
      <c r="W120" s="148"/>
      <c r="X120" s="457"/>
    </row>
    <row r="121" spans="2:24" ht="14.25" customHeight="1">
      <c r="B121" s="402"/>
      <c r="C121" s="403"/>
      <c r="D121" s="505" t="s">
        <v>1058</v>
      </c>
      <c r="E121" s="449"/>
      <c r="F121" s="393"/>
      <c r="G121" s="487" t="s">
        <v>1046</v>
      </c>
      <c r="H121" s="488"/>
      <c r="I121" s="488"/>
      <c r="J121" s="472" t="s">
        <v>1085</v>
      </c>
      <c r="K121" s="473">
        <f>K118</f>
        <v>1.3</v>
      </c>
      <c r="L121" s="463">
        <f>VLOOKUP("全国平均",[1]クレーン単価!A1:O57,5,FALSE)</f>
        <v>53200</v>
      </c>
      <c r="M121" s="464"/>
      <c r="N121" s="463">
        <f>K121*L121</f>
        <v>69160</v>
      </c>
      <c r="O121" s="464"/>
      <c r="P121" s="476"/>
      <c r="Q121" s="149"/>
      <c r="R121" s="150"/>
      <c r="S121" s="149"/>
      <c r="T121" s="150"/>
      <c r="U121" s="146"/>
      <c r="V121" s="148"/>
      <c r="W121" s="148"/>
      <c r="X121" s="457"/>
    </row>
    <row r="122" spans="2:24" ht="14.25" customHeight="1">
      <c r="B122" s="402"/>
      <c r="C122" s="403"/>
      <c r="D122" s="405"/>
      <c r="E122" s="458"/>
      <c r="F122" s="458"/>
      <c r="G122" s="282" t="s">
        <v>1086</v>
      </c>
      <c r="H122" s="458"/>
      <c r="I122" s="458"/>
      <c r="J122" s="468"/>
      <c r="K122" s="469"/>
      <c r="L122" s="470"/>
      <c r="M122" s="471"/>
      <c r="N122" s="470"/>
      <c r="O122" s="471"/>
      <c r="P122" s="456"/>
      <c r="Q122" s="148"/>
      <c r="R122" s="148"/>
      <c r="S122" s="148"/>
      <c r="T122" s="148"/>
      <c r="U122" s="148"/>
      <c r="V122" s="148"/>
      <c r="W122" s="148"/>
      <c r="X122" s="457"/>
    </row>
    <row r="123" spans="2:24" ht="14.25" customHeight="1">
      <c r="B123" s="458"/>
      <c r="C123" s="458"/>
      <c r="D123" s="309" t="s">
        <v>606</v>
      </c>
      <c r="E123" s="309"/>
      <c r="F123" s="309"/>
      <c r="G123" s="431"/>
      <c r="H123" s="432"/>
      <c r="I123" s="433"/>
      <c r="J123" s="353"/>
      <c r="K123" s="406"/>
      <c r="L123" s="419"/>
      <c r="M123" s="420"/>
      <c r="N123" s="425">
        <f>SUM(N117:O122)</f>
        <v>431110</v>
      </c>
      <c r="O123" s="448"/>
      <c r="P123" s="477"/>
      <c r="Q123" s="478"/>
      <c r="R123" s="478"/>
      <c r="S123" s="478"/>
      <c r="T123" s="478"/>
      <c r="U123" s="478"/>
      <c r="V123" s="478"/>
      <c r="W123" s="478"/>
      <c r="X123" s="446"/>
    </row>
    <row r="124" spans="2:24" ht="14.25" customHeight="1"/>
    <row r="125" spans="2:24" ht="14.25" customHeight="1"/>
    <row r="126" spans="2:24" ht="14.25" customHeight="1">
      <c r="B126" s="143" t="s">
        <v>1087</v>
      </c>
      <c r="V126" s="159"/>
    </row>
    <row r="127" spans="2:24" ht="14.25" customHeight="1">
      <c r="B127" s="309" t="s">
        <v>1010</v>
      </c>
      <c r="C127" s="309"/>
      <c r="D127" s="251" t="s">
        <v>930</v>
      </c>
      <c r="E127" s="309"/>
      <c r="F127" s="309"/>
      <c r="G127" s="309" t="s">
        <v>1011</v>
      </c>
      <c r="H127" s="309"/>
      <c r="I127" s="309"/>
      <c r="J127" s="353" t="s">
        <v>931</v>
      </c>
      <c r="K127" s="353" t="s">
        <v>932</v>
      </c>
      <c r="L127" s="309" t="s">
        <v>1012</v>
      </c>
      <c r="M127" s="309"/>
      <c r="N127" s="309" t="s">
        <v>1013</v>
      </c>
      <c r="O127" s="309"/>
      <c r="P127" s="309" t="s">
        <v>1014</v>
      </c>
      <c r="Q127" s="309"/>
      <c r="R127" s="309"/>
      <c r="S127" s="309"/>
      <c r="T127" s="309"/>
      <c r="U127" s="309"/>
      <c r="V127" s="309"/>
      <c r="W127" s="309"/>
      <c r="X127" s="309"/>
    </row>
    <row r="128" spans="2:24" ht="14.25" customHeight="1">
      <c r="B128" s="459" t="s">
        <v>1015</v>
      </c>
      <c r="C128" s="459"/>
      <c r="D128" s="309" t="s">
        <v>1016</v>
      </c>
      <c r="E128" s="309"/>
      <c r="F128" s="309"/>
      <c r="G128" s="444" t="s">
        <v>1017</v>
      </c>
      <c r="H128" s="445">
        <v>1</v>
      </c>
      <c r="I128" s="446" t="s">
        <v>1018</v>
      </c>
      <c r="J128" s="353" t="s">
        <v>1019</v>
      </c>
      <c r="K128" s="394">
        <f>H128*R128</f>
        <v>9.1999999999999993</v>
      </c>
      <c r="L128" s="425">
        <f>$L$234</f>
        <v>33710</v>
      </c>
      <c r="M128" s="448"/>
      <c r="N128" s="395">
        <f t="shared" ref="N128:N133" si="1">L128*K128</f>
        <v>310132</v>
      </c>
      <c r="O128" s="395"/>
      <c r="P128" s="224" t="s">
        <v>1053</v>
      </c>
      <c r="Q128" s="224"/>
      <c r="R128" s="450">
        <f>'[1]日数 (1)'!D283</f>
        <v>9.1999999999999993</v>
      </c>
      <c r="S128" s="453" t="s">
        <v>183</v>
      </c>
      <c r="T128" s="318" t="s">
        <v>1022</v>
      </c>
      <c r="U128" s="452" t="s">
        <v>1023</v>
      </c>
      <c r="V128" s="452"/>
      <c r="W128" s="453"/>
      <c r="X128" s="454"/>
    </row>
    <row r="129" spans="2:24" ht="14.25" customHeight="1">
      <c r="B129" s="455"/>
      <c r="C129" s="455"/>
      <c r="D129" s="309" t="s">
        <v>1024</v>
      </c>
      <c r="E129" s="309"/>
      <c r="F129" s="309"/>
      <c r="G129" s="444" t="s">
        <v>1017</v>
      </c>
      <c r="H129" s="445">
        <v>6</v>
      </c>
      <c r="I129" s="446" t="s">
        <v>1018</v>
      </c>
      <c r="J129" s="353" t="s">
        <v>1025</v>
      </c>
      <c r="K129" s="394">
        <f>H129*R128</f>
        <v>55.199999999999996</v>
      </c>
      <c r="L129" s="425">
        <f>$L$235</f>
        <v>28930</v>
      </c>
      <c r="M129" s="448"/>
      <c r="N129" s="395">
        <f t="shared" si="1"/>
        <v>1596935.9999999998</v>
      </c>
      <c r="O129" s="395"/>
      <c r="P129" s="148"/>
      <c r="Q129" s="148"/>
      <c r="R129" s="148"/>
      <c r="S129" s="148"/>
      <c r="T129" s="148"/>
      <c r="U129" s="148"/>
      <c r="V129" s="148"/>
      <c r="W129" s="148"/>
      <c r="X129" s="457"/>
    </row>
    <row r="130" spans="2:24" ht="14.25" customHeight="1">
      <c r="B130" s="458"/>
      <c r="C130" s="458"/>
      <c r="D130" s="309" t="s">
        <v>1026</v>
      </c>
      <c r="E130" s="309"/>
      <c r="F130" s="309"/>
      <c r="G130" s="444" t="s">
        <v>1017</v>
      </c>
      <c r="H130" s="445">
        <v>1</v>
      </c>
      <c r="I130" s="446" t="s">
        <v>1018</v>
      </c>
      <c r="J130" s="353" t="s">
        <v>1025</v>
      </c>
      <c r="K130" s="394">
        <f>H130*R128</f>
        <v>9.1999999999999993</v>
      </c>
      <c r="L130" s="425">
        <f>$L$236</f>
        <v>18800</v>
      </c>
      <c r="M130" s="448"/>
      <c r="N130" s="395">
        <f t="shared" si="1"/>
        <v>172960</v>
      </c>
      <c r="O130" s="395"/>
      <c r="P130" s="148"/>
      <c r="Q130" s="148"/>
      <c r="R130" s="148"/>
      <c r="S130" s="148"/>
      <c r="T130" s="148"/>
      <c r="U130" s="148"/>
      <c r="V130" s="148"/>
      <c r="W130" s="148"/>
      <c r="X130" s="457"/>
    </row>
    <row r="131" spans="2:24" ht="14.25" customHeight="1">
      <c r="B131" s="459" t="s">
        <v>1027</v>
      </c>
      <c r="C131" s="459"/>
      <c r="D131" s="251" t="s">
        <v>1088</v>
      </c>
      <c r="E131" s="309"/>
      <c r="F131" s="309"/>
      <c r="G131" s="431"/>
      <c r="H131" s="432"/>
      <c r="I131" s="433"/>
      <c r="J131" s="353" t="s">
        <v>183</v>
      </c>
      <c r="K131" s="394">
        <f>ROUND('[1]基本 (1)'!D169,1)</f>
        <v>142</v>
      </c>
      <c r="L131" s="395">
        <f>W131</f>
        <v>21803</v>
      </c>
      <c r="M131" s="395"/>
      <c r="N131" s="395">
        <f t="shared" si="1"/>
        <v>3096026</v>
      </c>
      <c r="O131" s="395"/>
      <c r="P131" s="151">
        <f>'[1]日数 (1)'!F260</f>
        <v>21.975000000000001</v>
      </c>
      <c r="Q131" s="149" t="s">
        <v>1089</v>
      </c>
      <c r="R131" s="490">
        <v>936</v>
      </c>
      <c r="S131" s="352" t="s">
        <v>1051</v>
      </c>
      <c r="T131" s="154" t="s">
        <v>1034</v>
      </c>
      <c r="U131" s="155">
        <v>1.06</v>
      </c>
      <c r="V131" s="149" t="s">
        <v>1055</v>
      </c>
      <c r="W131" s="491">
        <f>ROUND(P131*R131*U131,0)</f>
        <v>21803</v>
      </c>
      <c r="X131" s="506" t="s">
        <v>1056</v>
      </c>
    </row>
    <row r="132" spans="2:24" ht="14.25" customHeight="1">
      <c r="B132" s="455"/>
      <c r="C132" s="455"/>
      <c r="D132" s="251" t="s">
        <v>1090</v>
      </c>
      <c r="E132" s="309"/>
      <c r="F132" s="309"/>
      <c r="G132" s="309"/>
      <c r="H132" s="309"/>
      <c r="I132" s="309"/>
      <c r="J132" s="350" t="s">
        <v>965</v>
      </c>
      <c r="K132" s="394">
        <f>ROUND('[1]日数 (1)'!F262,1)</f>
        <v>12.1</v>
      </c>
      <c r="L132" s="494">
        <v>452000</v>
      </c>
      <c r="M132" s="494"/>
      <c r="N132" s="395">
        <f t="shared" si="1"/>
        <v>5469200</v>
      </c>
      <c r="O132" s="395"/>
      <c r="P132" s="147"/>
      <c r="Q132" s="149"/>
      <c r="R132" s="150"/>
      <c r="S132" s="149"/>
      <c r="T132" s="507"/>
      <c r="U132" s="146"/>
      <c r="V132" s="148"/>
      <c r="W132" s="148"/>
      <c r="X132" s="457"/>
    </row>
    <row r="133" spans="2:24" ht="14.25" customHeight="1">
      <c r="B133" s="455"/>
      <c r="C133" s="455"/>
      <c r="D133" s="487" t="s">
        <v>1058</v>
      </c>
      <c r="E133" s="488"/>
      <c r="F133" s="488"/>
      <c r="G133" s="508" t="str">
        <f ca="1">IF('[1]クレーン (1)'!D48&lt;=100,"ラフテレーンクレーン","トラッククレーン")</f>
        <v>ラフテレーンクレーン</v>
      </c>
      <c r="H133" s="509"/>
      <c r="I133" s="510"/>
      <c r="J133" s="461" t="s">
        <v>1025</v>
      </c>
      <c r="K133" s="473">
        <f>ROUND(R128,0)</f>
        <v>9</v>
      </c>
      <c r="L133" s="492">
        <f ca="1">VLOOKUP("全国平均",[1]クレーン単価!A1:O57,RANK('[1]クレーン (1)'!D48,[1]クレーン単価!B1:O1,1)+1,FALSE)</f>
        <v>118100</v>
      </c>
      <c r="M133" s="492"/>
      <c r="N133" s="492">
        <f t="shared" ca="1" si="1"/>
        <v>1062900</v>
      </c>
      <c r="O133" s="492"/>
      <c r="P133" s="148"/>
      <c r="Q133" s="148"/>
      <c r="R133" s="148"/>
      <c r="S133" s="148"/>
      <c r="T133" s="148"/>
      <c r="U133" s="148"/>
      <c r="V133" s="148"/>
      <c r="W133" s="148"/>
      <c r="X133" s="457"/>
    </row>
    <row r="134" spans="2:24" ht="14.25" customHeight="1">
      <c r="B134" s="455"/>
      <c r="C134" s="455"/>
      <c r="D134" s="458"/>
      <c r="E134" s="458"/>
      <c r="F134" s="458"/>
      <c r="G134" s="511" t="str">
        <f ca="1">'[1]クレーン (1)'!D48&amp;"ｔ吊り"</f>
        <v>65ｔ吊り</v>
      </c>
      <c r="H134" s="511"/>
      <c r="I134" s="511"/>
      <c r="J134" s="468"/>
      <c r="K134" s="469"/>
      <c r="L134" s="493"/>
      <c r="M134" s="493"/>
      <c r="N134" s="493"/>
      <c r="O134" s="493"/>
      <c r="P134" s="148"/>
      <c r="Q134" s="148"/>
      <c r="R134" s="148"/>
      <c r="S134" s="148"/>
      <c r="T134" s="148"/>
      <c r="U134" s="148"/>
      <c r="V134" s="148"/>
      <c r="W134" s="148"/>
      <c r="X134" s="457"/>
    </row>
    <row r="135" spans="2:24" ht="14.25" customHeight="1">
      <c r="B135" s="455"/>
      <c r="C135" s="455"/>
      <c r="D135" s="309" t="s">
        <v>1059</v>
      </c>
      <c r="E135" s="309"/>
      <c r="F135" s="309"/>
      <c r="G135" s="309"/>
      <c r="H135" s="309"/>
      <c r="I135" s="309"/>
      <c r="J135" s="353" t="s">
        <v>1025</v>
      </c>
      <c r="K135" s="394">
        <f>T135</f>
        <v>16</v>
      </c>
      <c r="L135" s="494">
        <v>9830</v>
      </c>
      <c r="M135" s="494"/>
      <c r="N135" s="395">
        <f>L135*K135</f>
        <v>157280</v>
      </c>
      <c r="O135" s="395"/>
      <c r="P135" s="151">
        <f>R128</f>
        <v>9.1999999999999993</v>
      </c>
      <c r="Q135" s="149" t="s">
        <v>1091</v>
      </c>
      <c r="R135" s="150">
        <v>1.7</v>
      </c>
      <c r="S135" s="149" t="s">
        <v>1055</v>
      </c>
      <c r="T135" s="186">
        <f>ROUND(P135*R135,0)</f>
        <v>16</v>
      </c>
      <c r="U135" s="146" t="s">
        <v>1060</v>
      </c>
      <c r="V135" s="148"/>
      <c r="W135" s="148"/>
      <c r="X135" s="457"/>
    </row>
    <row r="136" spans="2:24" ht="14.25" customHeight="1">
      <c r="B136" s="458"/>
      <c r="C136" s="458"/>
      <c r="D136" s="309" t="s">
        <v>1061</v>
      </c>
      <c r="E136" s="309"/>
      <c r="F136" s="309"/>
      <c r="G136" s="251" t="s">
        <v>1092</v>
      </c>
      <c r="H136" s="309"/>
      <c r="I136" s="309"/>
      <c r="J136" s="353" t="s">
        <v>1025</v>
      </c>
      <c r="K136" s="394">
        <f>T135</f>
        <v>16</v>
      </c>
      <c r="L136" s="494">
        <v>6300</v>
      </c>
      <c r="M136" s="494"/>
      <c r="N136" s="395">
        <f>L136*K136</f>
        <v>100800</v>
      </c>
      <c r="O136" s="395"/>
      <c r="P136" s="148"/>
      <c r="Q136" s="148"/>
      <c r="R136" s="148"/>
      <c r="S136" s="148"/>
      <c r="T136" s="148"/>
      <c r="U136" s="148"/>
      <c r="V136" s="148"/>
      <c r="W136" s="148"/>
      <c r="X136" s="457"/>
    </row>
    <row r="137" spans="2:24" ht="14.25" customHeight="1">
      <c r="B137" s="309" t="s">
        <v>1035</v>
      </c>
      <c r="C137" s="309"/>
      <c r="D137" s="309"/>
      <c r="E137" s="309"/>
      <c r="F137" s="309"/>
      <c r="G137" s="309"/>
      <c r="H137" s="309"/>
      <c r="I137" s="309"/>
      <c r="J137" s="353" t="s">
        <v>1036</v>
      </c>
      <c r="K137" s="406">
        <v>1</v>
      </c>
      <c r="L137" s="396"/>
      <c r="M137" s="396"/>
      <c r="N137" s="395">
        <f>(N128+N129+N130)*(R137/100)</f>
        <v>83201.119999999995</v>
      </c>
      <c r="O137" s="395"/>
      <c r="P137" s="146" t="s">
        <v>1063</v>
      </c>
      <c r="Q137" s="149" t="s">
        <v>1034</v>
      </c>
      <c r="R137" s="150">
        <v>4</v>
      </c>
      <c r="S137" s="148" t="s">
        <v>1038</v>
      </c>
      <c r="T137" s="148"/>
      <c r="U137" s="148"/>
      <c r="V137" s="148"/>
      <c r="W137" s="148"/>
      <c r="X137" s="457"/>
    </row>
    <row r="138" spans="2:24" ht="14.25" customHeight="1">
      <c r="B138" s="309"/>
      <c r="C138" s="309"/>
      <c r="D138" s="309" t="s">
        <v>606</v>
      </c>
      <c r="E138" s="309"/>
      <c r="F138" s="309"/>
      <c r="G138" s="309"/>
      <c r="H138" s="309"/>
      <c r="I138" s="309"/>
      <c r="J138" s="434"/>
      <c r="K138" s="394">
        <f>'[1]日数 (1)'!D269</f>
        <v>34.064999999999998</v>
      </c>
      <c r="L138" s="425">
        <f ca="1">INT(Cel工事_送出し設備工手延機・連結構設備工_金額計 / Cel工事_送出し設備工手延機・連結構設備工_数量計)</f>
        <v>353718</v>
      </c>
      <c r="M138" s="420"/>
      <c r="N138" s="395">
        <f ca="1">SUM(N128:O137)</f>
        <v>12049435.119999999</v>
      </c>
      <c r="O138" s="395"/>
      <c r="P138" s="478"/>
      <c r="Q138" s="478"/>
      <c r="R138" s="478"/>
      <c r="S138" s="478"/>
      <c r="T138" s="478"/>
      <c r="U138" s="478"/>
      <c r="V138" s="478"/>
      <c r="W138" s="478"/>
      <c r="X138" s="446"/>
    </row>
    <row r="139" spans="2:24" ht="14.25" customHeight="1"/>
    <row r="140" spans="2:24" ht="14.25" customHeight="1"/>
    <row r="141" spans="2:24" ht="14.25" customHeight="1">
      <c r="B141" s="143" t="s">
        <v>1093</v>
      </c>
      <c r="V141" s="159"/>
    </row>
    <row r="142" spans="2:24" ht="14.25" customHeight="1">
      <c r="B142" s="309" t="s">
        <v>1010</v>
      </c>
      <c r="C142" s="309"/>
      <c r="D142" s="251" t="s">
        <v>930</v>
      </c>
      <c r="E142" s="309"/>
      <c r="F142" s="309"/>
      <c r="G142" s="309" t="s">
        <v>1011</v>
      </c>
      <c r="H142" s="309"/>
      <c r="I142" s="309"/>
      <c r="J142" s="353" t="s">
        <v>931</v>
      </c>
      <c r="K142" s="353" t="s">
        <v>932</v>
      </c>
      <c r="L142" s="309" t="s">
        <v>1012</v>
      </c>
      <c r="M142" s="309"/>
      <c r="N142" s="309" t="s">
        <v>1013</v>
      </c>
      <c r="O142" s="309"/>
      <c r="P142" s="309" t="s">
        <v>1014</v>
      </c>
      <c r="Q142" s="309"/>
      <c r="R142" s="309"/>
      <c r="S142" s="309"/>
      <c r="T142" s="309"/>
      <c r="U142" s="309"/>
      <c r="V142" s="309"/>
      <c r="W142" s="309"/>
      <c r="X142" s="309"/>
    </row>
    <row r="143" spans="2:24" ht="14.25" customHeight="1">
      <c r="B143" s="459" t="s">
        <v>1015</v>
      </c>
      <c r="C143" s="459"/>
      <c r="D143" s="309" t="s">
        <v>1016</v>
      </c>
      <c r="E143" s="309"/>
      <c r="F143" s="309"/>
      <c r="G143" s="444" t="s">
        <v>1017</v>
      </c>
      <c r="H143" s="445">
        <v>1</v>
      </c>
      <c r="I143" s="446" t="s">
        <v>1018</v>
      </c>
      <c r="J143" s="353" t="s">
        <v>1019</v>
      </c>
      <c r="K143" s="394">
        <f>H143*R143</f>
        <v>2.6</v>
      </c>
      <c r="L143" s="425">
        <f>$L$234</f>
        <v>33710</v>
      </c>
      <c r="M143" s="448"/>
      <c r="N143" s="395">
        <f>L143*K143</f>
        <v>87646</v>
      </c>
      <c r="O143" s="395"/>
      <c r="P143" s="224" t="s">
        <v>1053</v>
      </c>
      <c r="Q143" s="224"/>
      <c r="R143" s="450">
        <f>'[1]日数 (1)'!D315</f>
        <v>2.6</v>
      </c>
      <c r="S143" s="453" t="s">
        <v>183</v>
      </c>
      <c r="T143" s="318" t="s">
        <v>1022</v>
      </c>
      <c r="U143" s="452" t="s">
        <v>1094</v>
      </c>
      <c r="V143" s="452"/>
      <c r="W143" s="453"/>
      <c r="X143" s="454"/>
    </row>
    <row r="144" spans="2:24" ht="14.25" customHeight="1">
      <c r="B144" s="455"/>
      <c r="C144" s="455"/>
      <c r="D144" s="309" t="s">
        <v>1024</v>
      </c>
      <c r="E144" s="309"/>
      <c r="F144" s="309"/>
      <c r="G144" s="444" t="s">
        <v>1017</v>
      </c>
      <c r="H144" s="445">
        <v>6</v>
      </c>
      <c r="I144" s="446" t="s">
        <v>1018</v>
      </c>
      <c r="J144" s="353" t="s">
        <v>1025</v>
      </c>
      <c r="K144" s="394">
        <f>H144*R143</f>
        <v>15.600000000000001</v>
      </c>
      <c r="L144" s="425">
        <f>$L$235</f>
        <v>28930</v>
      </c>
      <c r="M144" s="448"/>
      <c r="N144" s="395">
        <f>L144*K144</f>
        <v>451308.00000000006</v>
      </c>
      <c r="O144" s="395"/>
      <c r="P144" s="148"/>
      <c r="Q144" s="148"/>
      <c r="R144" s="148"/>
      <c r="S144" s="148"/>
      <c r="T144" s="148"/>
      <c r="U144" s="148"/>
      <c r="V144" s="148"/>
      <c r="W144" s="148"/>
      <c r="X144" s="457"/>
    </row>
    <row r="145" spans="2:24" ht="14.25" customHeight="1">
      <c r="B145" s="458"/>
      <c r="C145" s="458"/>
      <c r="D145" s="309" t="s">
        <v>1026</v>
      </c>
      <c r="E145" s="309"/>
      <c r="F145" s="309"/>
      <c r="G145" s="444" t="s">
        <v>1017</v>
      </c>
      <c r="H145" s="445">
        <v>1</v>
      </c>
      <c r="I145" s="446" t="s">
        <v>1018</v>
      </c>
      <c r="J145" s="353" t="s">
        <v>1025</v>
      </c>
      <c r="K145" s="394">
        <f>H145*R143</f>
        <v>2.6</v>
      </c>
      <c r="L145" s="425">
        <f>$L$236</f>
        <v>18800</v>
      </c>
      <c r="M145" s="448"/>
      <c r="N145" s="395">
        <f>L145*K145</f>
        <v>48880</v>
      </c>
      <c r="O145" s="395"/>
      <c r="P145" s="148"/>
      <c r="Q145" s="148"/>
      <c r="R145" s="148"/>
      <c r="S145" s="148"/>
      <c r="T145" s="148"/>
      <c r="U145" s="148"/>
      <c r="V145" s="148"/>
      <c r="W145" s="148"/>
      <c r="X145" s="457"/>
    </row>
    <row r="146" spans="2:24" ht="14.25" customHeight="1">
      <c r="B146" s="512" t="s">
        <v>1095</v>
      </c>
      <c r="C146" s="455"/>
      <c r="D146" s="389" t="s">
        <v>1096</v>
      </c>
      <c r="E146" s="432"/>
      <c r="F146" s="433"/>
      <c r="G146" s="309"/>
      <c r="H146" s="309"/>
      <c r="I146" s="309"/>
      <c r="J146" s="461" t="s">
        <v>1025</v>
      </c>
      <c r="K146" s="394">
        <f>ROUND('[1]基本 (1)'!D179,1)</f>
        <v>127</v>
      </c>
      <c r="L146" s="395">
        <f>ROUND((P146+R146+T146)*1.06,0)</f>
        <v>11406</v>
      </c>
      <c r="M146" s="395"/>
      <c r="N146" s="395">
        <f>L146*K146</f>
        <v>1448562</v>
      </c>
      <c r="O146" s="395"/>
      <c r="P146" s="302">
        <f>IF('[1]日数 (1)'!I295=10,1020,IF('[1]日数 (1)'!I295=15,1080,IF('[1]日数 (1)'!I295=20,1230,IF('[1]日数 (1)'!I295=30,1740,IF('[1]日数 (1)'!I295=40,2010,IF('[1]日数 (1)'!I295=60,2530,IF('[1]日数 (1)'!I295=80,3360,IF('[1]日数 (1)'!I295=100,4160,5380))))))))</f>
        <v>5380</v>
      </c>
      <c r="Q146" s="149" t="s">
        <v>76</v>
      </c>
      <c r="R146" s="302">
        <f>P146</f>
        <v>5380</v>
      </c>
      <c r="S146" s="149" t="s">
        <v>76</v>
      </c>
      <c r="T146" s="302"/>
      <c r="U146" s="149" t="s">
        <v>76</v>
      </c>
      <c r="V146" s="176" t="s">
        <v>1097</v>
      </c>
      <c r="W146" s="150"/>
      <c r="X146" s="506"/>
    </row>
    <row r="147" spans="2:24" ht="14.25" customHeight="1">
      <c r="B147" s="455"/>
      <c r="C147" s="455"/>
      <c r="D147" s="487" t="s">
        <v>1058</v>
      </c>
      <c r="E147" s="488"/>
      <c r="F147" s="488"/>
      <c r="G147" s="487" t="s">
        <v>1046</v>
      </c>
      <c r="H147" s="488"/>
      <c r="I147" s="488"/>
      <c r="J147" s="461" t="s">
        <v>1025</v>
      </c>
      <c r="K147" s="473">
        <f>ROUND(R143,0)</f>
        <v>3</v>
      </c>
      <c r="L147" s="492">
        <f>VLOOKUP("全国平均",[1]クレーン単価!A1:O57,4,FALSE)</f>
        <v>49000</v>
      </c>
      <c r="M147" s="492"/>
      <c r="N147" s="492">
        <f>L147*K147</f>
        <v>147000</v>
      </c>
      <c r="O147" s="492"/>
      <c r="P147" s="148"/>
      <c r="Q147" s="148"/>
      <c r="R147" s="148"/>
      <c r="S147" s="148"/>
      <c r="T147" s="148"/>
      <c r="U147" s="148"/>
      <c r="V147" s="148"/>
      <c r="W147" s="148"/>
      <c r="X147" s="457"/>
    </row>
    <row r="148" spans="2:24" ht="14.25" customHeight="1">
      <c r="B148" s="455"/>
      <c r="C148" s="455"/>
      <c r="D148" s="458"/>
      <c r="E148" s="458"/>
      <c r="F148" s="458"/>
      <c r="G148" s="458" t="s">
        <v>1047</v>
      </c>
      <c r="H148" s="458"/>
      <c r="I148" s="458"/>
      <c r="J148" s="468"/>
      <c r="K148" s="469"/>
      <c r="L148" s="493"/>
      <c r="M148" s="493"/>
      <c r="N148" s="493"/>
      <c r="O148" s="493"/>
      <c r="P148" s="148"/>
      <c r="Q148" s="148"/>
      <c r="R148" s="148"/>
      <c r="S148" s="148"/>
      <c r="T148" s="148"/>
      <c r="U148" s="148"/>
      <c r="V148" s="148"/>
      <c r="W148" s="148"/>
      <c r="X148" s="457"/>
    </row>
    <row r="149" spans="2:24" ht="14.25" customHeight="1">
      <c r="B149" s="455"/>
      <c r="C149" s="455"/>
      <c r="D149" s="309" t="s">
        <v>1059</v>
      </c>
      <c r="E149" s="309"/>
      <c r="F149" s="309"/>
      <c r="G149" s="309"/>
      <c r="H149" s="309"/>
      <c r="I149" s="309"/>
      <c r="J149" s="353" t="s">
        <v>1025</v>
      </c>
      <c r="K149" s="394">
        <f>T149</f>
        <v>4</v>
      </c>
      <c r="L149" s="494">
        <v>9830</v>
      </c>
      <c r="M149" s="494"/>
      <c r="N149" s="395">
        <f>L149*K149</f>
        <v>39320</v>
      </c>
      <c r="O149" s="395"/>
      <c r="P149" s="151">
        <f>R143</f>
        <v>2.6</v>
      </c>
      <c r="Q149" s="149" t="s">
        <v>1034</v>
      </c>
      <c r="R149" s="150">
        <v>1.7</v>
      </c>
      <c r="S149" s="149" t="s">
        <v>1055</v>
      </c>
      <c r="T149" s="186">
        <f>ROUND(P149*R149,0)</f>
        <v>4</v>
      </c>
      <c r="U149" s="146" t="s">
        <v>1060</v>
      </c>
      <c r="V149" s="148"/>
      <c r="W149" s="148"/>
      <c r="X149" s="457"/>
    </row>
    <row r="150" spans="2:24" ht="14.25" customHeight="1">
      <c r="B150" s="458"/>
      <c r="C150" s="458"/>
      <c r="D150" s="309" t="s">
        <v>1061</v>
      </c>
      <c r="E150" s="309"/>
      <c r="F150" s="309"/>
      <c r="G150" s="251" t="s">
        <v>1067</v>
      </c>
      <c r="H150" s="309"/>
      <c r="I150" s="309"/>
      <c r="J150" s="353" t="s">
        <v>1025</v>
      </c>
      <c r="K150" s="394">
        <f>T149</f>
        <v>4</v>
      </c>
      <c r="L150" s="494">
        <v>6300</v>
      </c>
      <c r="M150" s="494"/>
      <c r="N150" s="395">
        <f>L150*K150</f>
        <v>25200</v>
      </c>
      <c r="O150" s="395"/>
      <c r="P150" s="148"/>
      <c r="Q150" s="148"/>
      <c r="R150" s="148"/>
      <c r="S150" s="148"/>
      <c r="T150" s="148"/>
      <c r="U150" s="148"/>
      <c r="V150" s="148"/>
      <c r="W150" s="148"/>
      <c r="X150" s="457"/>
    </row>
    <row r="151" spans="2:24" ht="14.25" customHeight="1">
      <c r="B151" s="309" t="s">
        <v>1035</v>
      </c>
      <c r="C151" s="309"/>
      <c r="D151" s="309"/>
      <c r="E151" s="309"/>
      <c r="F151" s="309"/>
      <c r="G151" s="309"/>
      <c r="H151" s="309"/>
      <c r="I151" s="309"/>
      <c r="J151" s="353" t="s">
        <v>1036</v>
      </c>
      <c r="K151" s="406">
        <v>1</v>
      </c>
      <c r="L151" s="396"/>
      <c r="M151" s="396"/>
      <c r="N151" s="395">
        <f>(N143+N144+N145)*(R151/100)</f>
        <v>23513.360000000001</v>
      </c>
      <c r="O151" s="395"/>
      <c r="P151" s="146" t="s">
        <v>1063</v>
      </c>
      <c r="Q151" s="149" t="s">
        <v>1064</v>
      </c>
      <c r="R151" s="150">
        <v>4</v>
      </c>
      <c r="S151" s="148" t="s">
        <v>1038</v>
      </c>
      <c r="T151" s="148"/>
      <c r="U151" s="148"/>
      <c r="V151" s="148"/>
      <c r="W151" s="148"/>
      <c r="X151" s="457"/>
    </row>
    <row r="152" spans="2:24" ht="14.25" customHeight="1">
      <c r="B152" s="309"/>
      <c r="C152" s="309"/>
      <c r="D152" s="309" t="s">
        <v>606</v>
      </c>
      <c r="E152" s="309"/>
      <c r="F152" s="309"/>
      <c r="G152" s="309"/>
      <c r="H152" s="309"/>
      <c r="I152" s="309"/>
      <c r="J152" s="434"/>
      <c r="K152" s="394">
        <f>'[1]日数 (1)'!E288</f>
        <v>3</v>
      </c>
      <c r="L152" s="425">
        <f>INT(Cel工事_送出し設備工台車設備工_金額計 / Cel工事_送出し設備工台車設備工_数量計)</f>
        <v>757143</v>
      </c>
      <c r="M152" s="420"/>
      <c r="N152" s="395">
        <f>SUM(N143:O151)</f>
        <v>2271429.36</v>
      </c>
      <c r="O152" s="395"/>
      <c r="P152" s="478"/>
      <c r="Q152" s="478"/>
      <c r="R152" s="478"/>
      <c r="S152" s="478"/>
      <c r="T152" s="478"/>
      <c r="U152" s="478"/>
      <c r="V152" s="478"/>
      <c r="W152" s="478"/>
      <c r="X152" s="446"/>
    </row>
    <row r="153" spans="2:24" ht="14.25" customHeight="1"/>
    <row r="154" spans="2:24" ht="14.25" customHeight="1"/>
    <row r="155" spans="2:24" ht="14.25" customHeight="1">
      <c r="B155" s="143" t="s">
        <v>1098</v>
      </c>
      <c r="V155" s="159"/>
    </row>
    <row r="156" spans="2:24" ht="14.25" customHeight="1">
      <c r="B156" s="309" t="s">
        <v>1010</v>
      </c>
      <c r="C156" s="309"/>
      <c r="D156" s="251" t="s">
        <v>930</v>
      </c>
      <c r="E156" s="309"/>
      <c r="F156" s="309"/>
      <c r="G156" s="309" t="s">
        <v>1011</v>
      </c>
      <c r="H156" s="309"/>
      <c r="I156" s="309"/>
      <c r="J156" s="353" t="s">
        <v>931</v>
      </c>
      <c r="K156" s="353" t="s">
        <v>932</v>
      </c>
      <c r="L156" s="309" t="s">
        <v>1012</v>
      </c>
      <c r="M156" s="309"/>
      <c r="N156" s="309" t="s">
        <v>1013</v>
      </c>
      <c r="O156" s="309"/>
      <c r="P156" s="309" t="s">
        <v>1014</v>
      </c>
      <c r="Q156" s="309"/>
      <c r="R156" s="309"/>
      <c r="S156" s="309"/>
      <c r="T156" s="309"/>
      <c r="U156" s="309"/>
      <c r="V156" s="309"/>
      <c r="W156" s="309"/>
      <c r="X156" s="309"/>
    </row>
    <row r="157" spans="2:24" ht="14.25" customHeight="1">
      <c r="B157" s="459" t="s">
        <v>1015</v>
      </c>
      <c r="C157" s="459"/>
      <c r="D157" s="309" t="s">
        <v>1016</v>
      </c>
      <c r="E157" s="309"/>
      <c r="F157" s="309"/>
      <c r="G157" s="444" t="s">
        <v>1017</v>
      </c>
      <c r="H157" s="445">
        <v>1</v>
      </c>
      <c r="I157" s="446" t="s">
        <v>1018</v>
      </c>
      <c r="J157" s="353" t="s">
        <v>1019</v>
      </c>
      <c r="K157" s="394">
        <f>H157*R157</f>
        <v>4.4000000000000004</v>
      </c>
      <c r="L157" s="425">
        <f>$L$234</f>
        <v>33710</v>
      </c>
      <c r="M157" s="448"/>
      <c r="N157" s="395">
        <f t="shared" ref="N157:N166" si="2">L157*K157</f>
        <v>148324</v>
      </c>
      <c r="O157" s="395"/>
      <c r="P157" s="224" t="s">
        <v>1053</v>
      </c>
      <c r="Q157" s="224"/>
      <c r="R157" s="450">
        <f>'[1]日数 (1)'!D357</f>
        <v>4.4000000000000004</v>
      </c>
      <c r="S157" s="453" t="s">
        <v>183</v>
      </c>
      <c r="T157" s="318" t="s">
        <v>1022</v>
      </c>
      <c r="U157" s="452" t="s">
        <v>1023</v>
      </c>
      <c r="V157" s="452"/>
      <c r="W157" s="453"/>
      <c r="X157" s="454"/>
    </row>
    <row r="158" spans="2:24" ht="14.25" customHeight="1">
      <c r="B158" s="455"/>
      <c r="C158" s="455"/>
      <c r="D158" s="309" t="s">
        <v>1024</v>
      </c>
      <c r="E158" s="309"/>
      <c r="F158" s="309"/>
      <c r="G158" s="444" t="s">
        <v>1017</v>
      </c>
      <c r="H158" s="445">
        <v>6</v>
      </c>
      <c r="I158" s="446" t="s">
        <v>1018</v>
      </c>
      <c r="J158" s="353" t="s">
        <v>1025</v>
      </c>
      <c r="K158" s="394">
        <f>H158*R157</f>
        <v>26.400000000000002</v>
      </c>
      <c r="L158" s="425">
        <f>$L$235</f>
        <v>28930</v>
      </c>
      <c r="M158" s="448"/>
      <c r="N158" s="395">
        <f t="shared" si="2"/>
        <v>763752.00000000012</v>
      </c>
      <c r="O158" s="395"/>
      <c r="P158" s="148"/>
      <c r="Q158" s="148"/>
      <c r="R158" s="148"/>
      <c r="S158" s="148"/>
      <c r="T158" s="148"/>
      <c r="U158" s="148"/>
      <c r="V158" s="148"/>
      <c r="W158" s="148"/>
      <c r="X158" s="457"/>
    </row>
    <row r="159" spans="2:24" ht="14.25" customHeight="1">
      <c r="B159" s="458"/>
      <c r="C159" s="458"/>
      <c r="D159" s="309" t="s">
        <v>1026</v>
      </c>
      <c r="E159" s="309"/>
      <c r="F159" s="309"/>
      <c r="G159" s="444" t="s">
        <v>1017</v>
      </c>
      <c r="H159" s="445">
        <v>1</v>
      </c>
      <c r="I159" s="446" t="s">
        <v>1018</v>
      </c>
      <c r="J159" s="353" t="s">
        <v>1025</v>
      </c>
      <c r="K159" s="394">
        <f>H159*R157</f>
        <v>4.4000000000000004</v>
      </c>
      <c r="L159" s="425">
        <f>$L$236</f>
        <v>18800</v>
      </c>
      <c r="M159" s="448"/>
      <c r="N159" s="395">
        <f t="shared" si="2"/>
        <v>82720</v>
      </c>
      <c r="O159" s="395"/>
      <c r="P159" s="148"/>
      <c r="Q159" s="148"/>
      <c r="R159" s="148"/>
      <c r="S159" s="148"/>
      <c r="T159" s="148"/>
      <c r="U159" s="148"/>
      <c r="V159" s="148"/>
      <c r="W159" s="148"/>
      <c r="X159" s="457"/>
    </row>
    <row r="160" spans="2:24" ht="14.25" hidden="1" customHeight="1">
      <c r="B160" s="459" t="s">
        <v>1027</v>
      </c>
      <c r="C160" s="459"/>
      <c r="D160" s="251" t="s">
        <v>1099</v>
      </c>
      <c r="E160" s="309"/>
      <c r="F160" s="309"/>
      <c r="G160" s="309"/>
      <c r="H160" s="309"/>
      <c r="I160" s="309"/>
      <c r="J160" s="350" t="s">
        <v>1100</v>
      </c>
      <c r="K160" s="394"/>
      <c r="L160" s="395">
        <f>P160*S160*(1+U160/100)</f>
        <v>546.96</v>
      </c>
      <c r="M160" s="395"/>
      <c r="N160" s="395">
        <f t="shared" si="2"/>
        <v>0</v>
      </c>
      <c r="O160" s="395"/>
      <c r="P160" s="513">
        <v>258</v>
      </c>
      <c r="Q160" s="149" t="s">
        <v>1056</v>
      </c>
      <c r="R160" s="154" t="s">
        <v>1034</v>
      </c>
      <c r="S160" s="155">
        <v>2</v>
      </c>
      <c r="T160" s="149" t="s">
        <v>1101</v>
      </c>
      <c r="U160" s="150">
        <v>6</v>
      </c>
      <c r="V160" s="148" t="s">
        <v>1038</v>
      </c>
      <c r="W160" s="148"/>
      <c r="X160" s="457"/>
    </row>
    <row r="161" spans="2:24" ht="14.25" hidden="1" customHeight="1">
      <c r="B161" s="459" t="s">
        <v>1027</v>
      </c>
      <c r="C161" s="459"/>
      <c r="D161" s="251" t="s">
        <v>1102</v>
      </c>
      <c r="E161" s="309"/>
      <c r="F161" s="309"/>
      <c r="G161" s="309"/>
      <c r="H161" s="309"/>
      <c r="I161" s="309"/>
      <c r="J161" s="350" t="s">
        <v>1100</v>
      </c>
      <c r="K161" s="394"/>
      <c r="L161" s="395">
        <f>P161*(1+S161/100)</f>
        <v>0</v>
      </c>
      <c r="M161" s="395"/>
      <c r="N161" s="395">
        <f t="shared" si="2"/>
        <v>0</v>
      </c>
      <c r="O161" s="395"/>
      <c r="P161" s="514"/>
      <c r="Q161" s="149" t="s">
        <v>1056</v>
      </c>
      <c r="R161" s="149" t="s">
        <v>1103</v>
      </c>
      <c r="S161" s="150">
        <v>6</v>
      </c>
      <c r="T161" s="148" t="s">
        <v>1038</v>
      </c>
      <c r="U161" s="146"/>
      <c r="V161" s="148"/>
      <c r="W161" s="148"/>
      <c r="X161" s="457"/>
    </row>
    <row r="162" spans="2:24" ht="14.25" hidden="1" customHeight="1">
      <c r="B162" s="455"/>
      <c r="C162" s="455"/>
      <c r="D162" s="312" t="s">
        <v>1104</v>
      </c>
      <c r="E162" s="408"/>
      <c r="F162" s="409"/>
      <c r="G162" s="309"/>
      <c r="H162" s="309"/>
      <c r="I162" s="309"/>
      <c r="J162" s="350" t="s">
        <v>1060</v>
      </c>
      <c r="K162" s="394">
        <f>T162</f>
        <v>0</v>
      </c>
      <c r="L162" s="494">
        <v>46100</v>
      </c>
      <c r="M162" s="494"/>
      <c r="N162" s="395">
        <f t="shared" si="2"/>
        <v>0</v>
      </c>
      <c r="O162" s="395"/>
      <c r="P162" s="151"/>
      <c r="Q162" s="149" t="s">
        <v>1082</v>
      </c>
      <c r="R162" s="149">
        <v>1.5</v>
      </c>
      <c r="S162" s="149" t="s">
        <v>1055</v>
      </c>
      <c r="T162" s="234">
        <f>ROUND(P162*R162,0)</f>
        <v>0</v>
      </c>
      <c r="U162" s="146" t="s">
        <v>1060</v>
      </c>
      <c r="V162" s="148"/>
      <c r="W162" s="148"/>
      <c r="X162" s="457"/>
    </row>
    <row r="163" spans="2:24" ht="14.25" customHeight="1">
      <c r="B163" s="459" t="s">
        <v>1027</v>
      </c>
      <c r="C163" s="459"/>
      <c r="D163" s="251" t="s">
        <v>1102</v>
      </c>
      <c r="E163" s="309"/>
      <c r="F163" s="309"/>
      <c r="G163" s="312" t="s">
        <v>1105</v>
      </c>
      <c r="H163" s="408"/>
      <c r="I163" s="409"/>
      <c r="J163" s="350" t="s">
        <v>1100</v>
      </c>
      <c r="K163" s="394">
        <f>ROUND('[1]基本 (1)'!I199,1)</f>
        <v>350</v>
      </c>
      <c r="L163" s="395">
        <f>P163*(1+S163/100)</f>
        <v>66250</v>
      </c>
      <c r="M163" s="395"/>
      <c r="N163" s="395">
        <f t="shared" si="2"/>
        <v>23187500</v>
      </c>
      <c r="O163" s="395"/>
      <c r="P163" s="514">
        <f>IF('[1]日数 (1)'!L328&lt;=250,62500,IF('[1]日数 (1)'!L328&lt;=400,80200,88000))</f>
        <v>62500</v>
      </c>
      <c r="Q163" s="149" t="s">
        <v>1056</v>
      </c>
      <c r="R163" s="149" t="s">
        <v>1103</v>
      </c>
      <c r="S163" s="150">
        <v>6</v>
      </c>
      <c r="T163" s="148" t="s">
        <v>1038</v>
      </c>
      <c r="U163" s="146"/>
      <c r="V163" s="148"/>
      <c r="W163" s="148"/>
      <c r="X163" s="457"/>
    </row>
    <row r="164" spans="2:24" ht="14.25" customHeight="1">
      <c r="B164" s="455"/>
      <c r="C164" s="455"/>
      <c r="D164" s="312" t="s">
        <v>1106</v>
      </c>
      <c r="E164" s="408"/>
      <c r="F164" s="409"/>
      <c r="G164" s="309"/>
      <c r="H164" s="309"/>
      <c r="I164" s="309"/>
      <c r="J164" s="350" t="s">
        <v>1060</v>
      </c>
      <c r="K164" s="394">
        <f>K162/'[1]日数 (1)'!G349</f>
        <v>0</v>
      </c>
      <c r="L164" s="395">
        <f>P164*(1+S164/100)</f>
        <v>114480</v>
      </c>
      <c r="M164" s="395"/>
      <c r="N164" s="395">
        <f t="shared" si="2"/>
        <v>0</v>
      </c>
      <c r="O164" s="395"/>
      <c r="P164" s="515">
        <v>108000</v>
      </c>
      <c r="Q164" s="149" t="s">
        <v>1056</v>
      </c>
      <c r="R164" s="149" t="s">
        <v>1103</v>
      </c>
      <c r="S164" s="149">
        <v>6</v>
      </c>
      <c r="T164" s="148" t="s">
        <v>1038</v>
      </c>
      <c r="U164" s="150"/>
      <c r="V164" s="146"/>
      <c r="W164" s="148"/>
      <c r="X164" s="457"/>
    </row>
    <row r="165" spans="2:24" ht="14.25" customHeight="1">
      <c r="B165" s="455"/>
      <c r="C165" s="455"/>
      <c r="D165" s="312" t="s">
        <v>1107</v>
      </c>
      <c r="E165" s="408"/>
      <c r="F165" s="409"/>
      <c r="G165" s="309"/>
      <c r="H165" s="309"/>
      <c r="I165" s="309"/>
      <c r="J165" s="350" t="s">
        <v>1060</v>
      </c>
      <c r="K165" s="394">
        <f>K164</f>
        <v>0</v>
      </c>
      <c r="L165" s="395">
        <f>P165*(1+S165/100)</f>
        <v>37948</v>
      </c>
      <c r="M165" s="395"/>
      <c r="N165" s="395">
        <f t="shared" si="2"/>
        <v>0</v>
      </c>
      <c r="O165" s="395"/>
      <c r="P165" s="515">
        <v>35800</v>
      </c>
      <c r="Q165" s="149" t="s">
        <v>1056</v>
      </c>
      <c r="R165" s="149" t="s">
        <v>1108</v>
      </c>
      <c r="S165" s="149">
        <v>6</v>
      </c>
      <c r="T165" s="148" t="s">
        <v>1038</v>
      </c>
      <c r="U165" s="150"/>
      <c r="V165" s="146"/>
      <c r="W165" s="148"/>
      <c r="X165" s="457"/>
    </row>
    <row r="166" spans="2:24" ht="14.25" customHeight="1">
      <c r="B166" s="455"/>
      <c r="C166" s="455"/>
      <c r="D166" s="487" t="s">
        <v>1109</v>
      </c>
      <c r="E166" s="488"/>
      <c r="F166" s="488"/>
      <c r="G166" s="487" t="s">
        <v>1110</v>
      </c>
      <c r="H166" s="488"/>
      <c r="I166" s="488"/>
      <c r="J166" s="461" t="s">
        <v>1025</v>
      </c>
      <c r="K166" s="473">
        <f>ROUND(P166*R166+T166*V166/X166,0)</f>
        <v>2</v>
      </c>
      <c r="L166" s="492">
        <f>VLOOKUP("全国平均",[1]クレーン単価!A1:O57,4,FALSE)</f>
        <v>49000</v>
      </c>
      <c r="M166" s="492"/>
      <c r="N166" s="492">
        <f t="shared" si="2"/>
        <v>98000</v>
      </c>
      <c r="O166" s="492"/>
      <c r="P166" s="147">
        <v>0.3</v>
      </c>
      <c r="Q166" s="149" t="s">
        <v>1064</v>
      </c>
      <c r="R166" s="186">
        <f>2</f>
        <v>2</v>
      </c>
      <c r="S166" s="149" t="s">
        <v>1108</v>
      </c>
      <c r="T166" s="150">
        <v>3</v>
      </c>
      <c r="U166" s="149" t="s">
        <v>1034</v>
      </c>
      <c r="V166" s="186">
        <f>R166</f>
        <v>2</v>
      </c>
      <c r="W166" s="149" t="s">
        <v>1111</v>
      </c>
      <c r="X166" s="516">
        <f>'[1]基本 (1)'!D7+1</f>
        <v>4</v>
      </c>
    </row>
    <row r="167" spans="2:24" ht="14.25" customHeight="1">
      <c r="B167" s="455"/>
      <c r="C167" s="455"/>
      <c r="D167" s="458"/>
      <c r="E167" s="458"/>
      <c r="F167" s="458"/>
      <c r="G167" s="458" t="s">
        <v>1047</v>
      </c>
      <c r="H167" s="458"/>
      <c r="I167" s="458"/>
      <c r="J167" s="468"/>
      <c r="K167" s="469"/>
      <c r="L167" s="493"/>
      <c r="M167" s="493"/>
      <c r="N167" s="493"/>
      <c r="O167" s="493"/>
      <c r="P167" s="148"/>
      <c r="Q167" s="148"/>
      <c r="R167" s="148"/>
      <c r="S167" s="148"/>
      <c r="T167" s="148"/>
      <c r="U167" s="148"/>
      <c r="V167" s="148"/>
      <c r="W167" s="148"/>
      <c r="X167" s="457"/>
    </row>
    <row r="168" spans="2:24" ht="14.25" customHeight="1">
      <c r="B168" s="455"/>
      <c r="C168" s="455"/>
      <c r="D168" s="309" t="s">
        <v>1059</v>
      </c>
      <c r="E168" s="309"/>
      <c r="F168" s="309"/>
      <c r="G168" s="309"/>
      <c r="H168" s="309"/>
      <c r="I168" s="309"/>
      <c r="J168" s="353" t="s">
        <v>1025</v>
      </c>
      <c r="K168" s="394">
        <f>T168</f>
        <v>7</v>
      </c>
      <c r="L168" s="494">
        <v>9830</v>
      </c>
      <c r="M168" s="494"/>
      <c r="N168" s="395">
        <f>L168*K168</f>
        <v>68810</v>
      </c>
      <c r="O168" s="395"/>
      <c r="P168" s="151">
        <f>R157</f>
        <v>4.4000000000000004</v>
      </c>
      <c r="Q168" s="149" t="s">
        <v>1034</v>
      </c>
      <c r="R168" s="150">
        <v>1.7</v>
      </c>
      <c r="S168" s="149" t="s">
        <v>1055</v>
      </c>
      <c r="T168" s="186">
        <f>ROUND(P168*R168,0)</f>
        <v>7</v>
      </c>
      <c r="U168" s="146" t="s">
        <v>1060</v>
      </c>
      <c r="V168" s="148"/>
      <c r="W168" s="148"/>
      <c r="X168" s="457"/>
    </row>
    <row r="169" spans="2:24" ht="14.25" customHeight="1">
      <c r="B169" s="458"/>
      <c r="C169" s="458"/>
      <c r="D169" s="309" t="s">
        <v>1061</v>
      </c>
      <c r="E169" s="309"/>
      <c r="F169" s="309"/>
      <c r="G169" s="251" t="s">
        <v>1067</v>
      </c>
      <c r="H169" s="309"/>
      <c r="I169" s="309"/>
      <c r="J169" s="353" t="s">
        <v>1025</v>
      </c>
      <c r="K169" s="394">
        <f>T168</f>
        <v>7</v>
      </c>
      <c r="L169" s="494">
        <v>6300</v>
      </c>
      <c r="M169" s="494"/>
      <c r="N169" s="395">
        <f>L169*K169</f>
        <v>44100</v>
      </c>
      <c r="O169" s="395"/>
      <c r="P169" s="148"/>
      <c r="Q169" s="148"/>
      <c r="R169" s="148"/>
      <c r="S169" s="148"/>
      <c r="T169" s="148"/>
      <c r="U169" s="148"/>
      <c r="V169" s="148"/>
      <c r="W169" s="148"/>
      <c r="X169" s="457"/>
    </row>
    <row r="170" spans="2:24" ht="14.25" customHeight="1">
      <c r="B170" s="309" t="s">
        <v>1035</v>
      </c>
      <c r="C170" s="309"/>
      <c r="D170" s="309"/>
      <c r="E170" s="309"/>
      <c r="F170" s="309"/>
      <c r="G170" s="309"/>
      <c r="H170" s="309"/>
      <c r="I170" s="309"/>
      <c r="J170" s="353" t="s">
        <v>1036</v>
      </c>
      <c r="K170" s="406">
        <v>1</v>
      </c>
      <c r="L170" s="396"/>
      <c r="M170" s="396"/>
      <c r="N170" s="395">
        <f>(N157+N158+N159)*(R170/100)</f>
        <v>39791.840000000004</v>
      </c>
      <c r="O170" s="395"/>
      <c r="P170" s="146" t="s">
        <v>1037</v>
      </c>
      <c r="Q170" s="149" t="s">
        <v>1034</v>
      </c>
      <c r="R170" s="150">
        <v>4</v>
      </c>
      <c r="S170" s="148" t="s">
        <v>1038</v>
      </c>
      <c r="T170" s="148"/>
      <c r="U170" s="148"/>
      <c r="V170" s="148"/>
      <c r="W170" s="148"/>
      <c r="X170" s="457"/>
    </row>
    <row r="171" spans="2:24" ht="14.25" customHeight="1">
      <c r="B171" s="309"/>
      <c r="C171" s="309"/>
      <c r="D171" s="309" t="s">
        <v>606</v>
      </c>
      <c r="E171" s="309"/>
      <c r="F171" s="309"/>
      <c r="G171" s="309"/>
      <c r="H171" s="309"/>
      <c r="I171" s="309"/>
      <c r="J171" s="434"/>
      <c r="K171" s="394">
        <v>4</v>
      </c>
      <c r="L171" s="425">
        <f>INT(Cel工事_送出し設備工送出し装置設備工_金額計 / Cel工事_送出し設備工送出し装置設備工_数量計)</f>
        <v>6108249</v>
      </c>
      <c r="M171" s="420"/>
      <c r="N171" s="395">
        <f>SUM(N157:O170)</f>
        <v>24432997.84</v>
      </c>
      <c r="O171" s="395"/>
      <c r="P171" s="478"/>
      <c r="Q171" s="478"/>
      <c r="R171" s="478"/>
      <c r="S171" s="478"/>
      <c r="T171" s="478"/>
      <c r="U171" s="478"/>
      <c r="V171" s="478"/>
      <c r="W171" s="478"/>
      <c r="X171" s="446"/>
    </row>
    <row r="172" spans="2:24" ht="14.25" customHeight="1"/>
    <row r="173" spans="2:24" ht="14.25" customHeight="1"/>
    <row r="174" spans="2:24" ht="14.25" hidden="1" customHeight="1">
      <c r="B174" s="143"/>
      <c r="V174" s="159"/>
    </row>
    <row r="175" spans="2:24" ht="14.25" hidden="1" customHeight="1">
      <c r="B175" s="309" t="s">
        <v>1010</v>
      </c>
      <c r="C175" s="309"/>
      <c r="D175" s="251" t="s">
        <v>930</v>
      </c>
      <c r="E175" s="309"/>
      <c r="F175" s="309"/>
      <c r="G175" s="309" t="s">
        <v>1011</v>
      </c>
      <c r="H175" s="309"/>
      <c r="I175" s="309"/>
      <c r="J175" s="353" t="s">
        <v>931</v>
      </c>
      <c r="K175" s="353" t="s">
        <v>932</v>
      </c>
      <c r="L175" s="309" t="s">
        <v>1012</v>
      </c>
      <c r="M175" s="309"/>
      <c r="N175" s="309" t="s">
        <v>1013</v>
      </c>
      <c r="O175" s="309"/>
      <c r="P175" s="309" t="s">
        <v>1014</v>
      </c>
      <c r="Q175" s="309"/>
      <c r="R175" s="309"/>
      <c r="S175" s="309"/>
      <c r="T175" s="309"/>
      <c r="U175" s="309"/>
      <c r="V175" s="309"/>
      <c r="W175" s="309"/>
      <c r="X175" s="309"/>
    </row>
    <row r="176" spans="2:24" ht="14.25" hidden="1" customHeight="1">
      <c r="B176" s="459" t="s">
        <v>1015</v>
      </c>
      <c r="C176" s="459"/>
      <c r="D176" s="309" t="s">
        <v>1016</v>
      </c>
      <c r="E176" s="309"/>
      <c r="F176" s="309"/>
      <c r="G176" s="444" t="s">
        <v>1017</v>
      </c>
      <c r="H176" s="445">
        <v>1</v>
      </c>
      <c r="I176" s="446" t="s">
        <v>1018</v>
      </c>
      <c r="J176" s="353" t="s">
        <v>1019</v>
      </c>
      <c r="K176" s="394">
        <f>H176*R176</f>
        <v>0</v>
      </c>
      <c r="L176" s="425">
        <f>$L$234</f>
        <v>33710</v>
      </c>
      <c r="M176" s="448"/>
      <c r="N176" s="395">
        <f>L176*K176</f>
        <v>0</v>
      </c>
      <c r="O176" s="395"/>
      <c r="P176" s="224" t="s">
        <v>1053</v>
      </c>
      <c r="Q176" s="224"/>
      <c r="R176" s="450"/>
      <c r="S176" s="453" t="s">
        <v>183</v>
      </c>
      <c r="T176" s="318"/>
      <c r="U176" s="452" t="s">
        <v>1023</v>
      </c>
      <c r="V176" s="452"/>
      <c r="W176" s="453"/>
      <c r="X176" s="454"/>
    </row>
    <row r="177" spans="2:24" ht="14.25" hidden="1" customHeight="1">
      <c r="B177" s="455"/>
      <c r="C177" s="455"/>
      <c r="D177" s="309" t="s">
        <v>1024</v>
      </c>
      <c r="E177" s="309"/>
      <c r="F177" s="309"/>
      <c r="G177" s="444" t="s">
        <v>1017</v>
      </c>
      <c r="H177" s="445">
        <v>6</v>
      </c>
      <c r="I177" s="446" t="s">
        <v>1018</v>
      </c>
      <c r="J177" s="353" t="s">
        <v>1025</v>
      </c>
      <c r="K177" s="394">
        <f>H177*R176</f>
        <v>0</v>
      </c>
      <c r="L177" s="425">
        <f>$L$235</f>
        <v>28930</v>
      </c>
      <c r="M177" s="448"/>
      <c r="N177" s="395">
        <f>L177*K177</f>
        <v>0</v>
      </c>
      <c r="O177" s="395"/>
      <c r="P177" s="148"/>
      <c r="Q177" s="148"/>
      <c r="R177" s="148"/>
      <c r="S177" s="148"/>
      <c r="T177" s="148"/>
      <c r="U177" s="148"/>
      <c r="V177" s="148"/>
      <c r="W177" s="148"/>
      <c r="X177" s="457"/>
    </row>
    <row r="178" spans="2:24" ht="14.25" hidden="1" customHeight="1">
      <c r="B178" s="458"/>
      <c r="C178" s="458"/>
      <c r="D178" s="309" t="s">
        <v>1026</v>
      </c>
      <c r="E178" s="309"/>
      <c r="F178" s="309"/>
      <c r="G178" s="444" t="s">
        <v>1017</v>
      </c>
      <c r="H178" s="445">
        <v>1</v>
      </c>
      <c r="I178" s="446" t="s">
        <v>1018</v>
      </c>
      <c r="J178" s="353" t="s">
        <v>1025</v>
      </c>
      <c r="K178" s="394">
        <f>H178*R176</f>
        <v>0</v>
      </c>
      <c r="L178" s="425">
        <f>$L$236</f>
        <v>18800</v>
      </c>
      <c r="M178" s="448"/>
      <c r="N178" s="395">
        <f>L178*K178</f>
        <v>0</v>
      </c>
      <c r="O178" s="395"/>
      <c r="P178" s="148"/>
      <c r="Q178" s="148"/>
      <c r="R178" s="148"/>
      <c r="S178" s="148"/>
      <c r="T178" s="148"/>
      <c r="U178" s="148"/>
      <c r="V178" s="148"/>
      <c r="W178" s="148"/>
      <c r="X178" s="457"/>
    </row>
    <row r="179" spans="2:24" ht="14.25" hidden="1" customHeight="1">
      <c r="B179" s="459" t="s">
        <v>1027</v>
      </c>
      <c r="C179" s="459"/>
      <c r="D179" s="251" t="s">
        <v>1112</v>
      </c>
      <c r="E179" s="309"/>
      <c r="F179" s="309"/>
      <c r="G179" s="431"/>
      <c r="H179" s="432"/>
      <c r="I179" s="433"/>
      <c r="J179" s="353" t="s">
        <v>183</v>
      </c>
      <c r="K179" s="394"/>
      <c r="L179" s="395">
        <f>ROUND(P179*1.06,0)</f>
        <v>0</v>
      </c>
      <c r="M179" s="395"/>
      <c r="N179" s="395">
        <f>L179*K179</f>
        <v>0</v>
      </c>
      <c r="O179" s="395"/>
      <c r="P179" s="517"/>
      <c r="Q179" s="149" t="s">
        <v>1034</v>
      </c>
      <c r="R179" s="198">
        <v>1.06</v>
      </c>
      <c r="S179" s="501" t="s">
        <v>1113</v>
      </c>
      <c r="T179" s="518"/>
      <c r="U179" s="519" t="s">
        <v>1114</v>
      </c>
      <c r="V179" s="520"/>
      <c r="W179" s="520"/>
      <c r="X179" s="521"/>
    </row>
    <row r="180" spans="2:24" ht="14.25" hidden="1" customHeight="1">
      <c r="B180" s="455"/>
      <c r="C180" s="455"/>
      <c r="D180" s="487" t="s">
        <v>1058</v>
      </c>
      <c r="E180" s="488"/>
      <c r="F180" s="488"/>
      <c r="G180" s="487" t="s">
        <v>1046</v>
      </c>
      <c r="H180" s="488"/>
      <c r="I180" s="488"/>
      <c r="J180" s="461" t="s">
        <v>1025</v>
      </c>
      <c r="K180" s="473"/>
      <c r="L180" s="492"/>
      <c r="M180" s="492"/>
      <c r="N180" s="492">
        <f>L180*K180</f>
        <v>0</v>
      </c>
      <c r="O180" s="492"/>
      <c r="P180" s="148"/>
      <c r="Q180" s="148"/>
      <c r="R180" s="148"/>
      <c r="S180" s="148"/>
      <c r="T180" s="153"/>
      <c r="U180" s="148"/>
      <c r="V180" s="148"/>
      <c r="W180" s="148"/>
      <c r="X180" s="457"/>
    </row>
    <row r="181" spans="2:24" ht="14.25" hidden="1" customHeight="1">
      <c r="B181" s="455"/>
      <c r="C181" s="455"/>
      <c r="D181" s="458"/>
      <c r="E181" s="458"/>
      <c r="F181" s="458"/>
      <c r="G181" s="458" t="s">
        <v>1047</v>
      </c>
      <c r="H181" s="458"/>
      <c r="I181" s="458"/>
      <c r="J181" s="468"/>
      <c r="K181" s="469"/>
      <c r="L181" s="493"/>
      <c r="M181" s="493"/>
      <c r="N181" s="493"/>
      <c r="O181" s="493"/>
      <c r="P181" s="148"/>
      <c r="Q181" s="148"/>
      <c r="R181" s="148"/>
      <c r="S181" s="148"/>
      <c r="T181" s="148"/>
      <c r="U181" s="148"/>
      <c r="V181" s="148"/>
      <c r="W181" s="148"/>
      <c r="X181" s="457"/>
    </row>
    <row r="182" spans="2:24" ht="14.25" hidden="1" customHeight="1">
      <c r="B182" s="455"/>
      <c r="C182" s="455"/>
      <c r="D182" s="309" t="s">
        <v>1059</v>
      </c>
      <c r="E182" s="309"/>
      <c r="F182" s="309"/>
      <c r="G182" s="309"/>
      <c r="H182" s="309"/>
      <c r="I182" s="309"/>
      <c r="J182" s="353" t="s">
        <v>1025</v>
      </c>
      <c r="K182" s="394">
        <f>T182</f>
        <v>0</v>
      </c>
      <c r="L182" s="494">
        <v>9830</v>
      </c>
      <c r="M182" s="494"/>
      <c r="N182" s="395">
        <f>L182*K182</f>
        <v>0</v>
      </c>
      <c r="O182" s="395"/>
      <c r="P182" s="151">
        <f>R176</f>
        <v>0</v>
      </c>
      <c r="Q182" s="149" t="s">
        <v>1034</v>
      </c>
      <c r="R182" s="150">
        <v>1.7</v>
      </c>
      <c r="S182" s="149" t="s">
        <v>1055</v>
      </c>
      <c r="T182" s="186">
        <f>ROUND(P182*R182,0)</f>
        <v>0</v>
      </c>
      <c r="U182" s="146" t="s">
        <v>1060</v>
      </c>
      <c r="V182" s="148"/>
      <c r="W182" s="148"/>
      <c r="X182" s="457"/>
    </row>
    <row r="183" spans="2:24" ht="14.25" hidden="1" customHeight="1">
      <c r="B183" s="458"/>
      <c r="C183" s="458"/>
      <c r="D183" s="309" t="s">
        <v>1061</v>
      </c>
      <c r="E183" s="309"/>
      <c r="F183" s="309"/>
      <c r="G183" s="251" t="s">
        <v>1067</v>
      </c>
      <c r="H183" s="309"/>
      <c r="I183" s="309"/>
      <c r="J183" s="353" t="s">
        <v>1025</v>
      </c>
      <c r="K183" s="394">
        <f>T182</f>
        <v>0</v>
      </c>
      <c r="L183" s="494">
        <v>6300</v>
      </c>
      <c r="M183" s="494"/>
      <c r="N183" s="395">
        <f>L183*K183</f>
        <v>0</v>
      </c>
      <c r="O183" s="395"/>
      <c r="P183" s="148"/>
      <c r="Q183" s="148"/>
      <c r="R183" s="148"/>
      <c r="S183" s="148"/>
      <c r="T183" s="148"/>
      <c r="U183" s="148"/>
      <c r="V183" s="148"/>
      <c r="W183" s="148"/>
      <c r="X183" s="457"/>
    </row>
    <row r="184" spans="2:24" ht="14.25" hidden="1" customHeight="1">
      <c r="B184" s="309" t="s">
        <v>1035</v>
      </c>
      <c r="C184" s="309"/>
      <c r="D184" s="309"/>
      <c r="E184" s="309"/>
      <c r="F184" s="309"/>
      <c r="G184" s="309"/>
      <c r="H184" s="309"/>
      <c r="I184" s="309"/>
      <c r="J184" s="353" t="s">
        <v>1036</v>
      </c>
      <c r="K184" s="406">
        <v>1</v>
      </c>
      <c r="L184" s="396"/>
      <c r="M184" s="396"/>
      <c r="N184" s="395">
        <f>(N176+N177+N178)*(R184/100)</f>
        <v>0</v>
      </c>
      <c r="O184" s="395"/>
      <c r="P184" s="146" t="s">
        <v>1037</v>
      </c>
      <c r="Q184" s="149" t="s">
        <v>1064</v>
      </c>
      <c r="R184" s="150">
        <v>4</v>
      </c>
      <c r="S184" s="148" t="s">
        <v>1038</v>
      </c>
      <c r="T184" s="148"/>
      <c r="U184" s="148"/>
      <c r="V184" s="148"/>
      <c r="W184" s="148"/>
      <c r="X184" s="457"/>
    </row>
    <row r="185" spans="2:24" ht="14.25" hidden="1" customHeight="1">
      <c r="B185" s="309"/>
      <c r="C185" s="309"/>
      <c r="D185" s="309" t="s">
        <v>606</v>
      </c>
      <c r="E185" s="309"/>
      <c r="F185" s="309"/>
      <c r="G185" s="309"/>
      <c r="H185" s="309"/>
      <c r="I185" s="309"/>
      <c r="J185" s="434"/>
      <c r="K185" s="406"/>
      <c r="L185" s="419"/>
      <c r="M185" s="420"/>
      <c r="N185" s="395">
        <f>SUM(N176:O184)</f>
        <v>0</v>
      </c>
      <c r="O185" s="395"/>
      <c r="P185" s="478"/>
      <c r="Q185" s="478"/>
      <c r="R185" s="478"/>
      <c r="S185" s="478"/>
      <c r="T185" s="478"/>
      <c r="U185" s="478"/>
      <c r="V185" s="478"/>
      <c r="W185" s="478"/>
      <c r="X185" s="446"/>
    </row>
    <row r="186" spans="2:24" ht="14.25" hidden="1" customHeight="1"/>
    <row r="187" spans="2:24" ht="14.25" hidden="1" customHeight="1"/>
    <row r="188" spans="2:24" ht="14.25" customHeight="1">
      <c r="B188" s="143" t="s">
        <v>1115</v>
      </c>
      <c r="V188" s="159"/>
    </row>
    <row r="189" spans="2:24" ht="14.25" customHeight="1">
      <c r="B189" s="309" t="s">
        <v>1010</v>
      </c>
      <c r="C189" s="309"/>
      <c r="D189" s="251" t="s">
        <v>930</v>
      </c>
      <c r="E189" s="309"/>
      <c r="F189" s="309"/>
      <c r="G189" s="309" t="s">
        <v>1011</v>
      </c>
      <c r="H189" s="309"/>
      <c r="I189" s="309"/>
      <c r="J189" s="353" t="s">
        <v>931</v>
      </c>
      <c r="K189" s="353" t="s">
        <v>932</v>
      </c>
      <c r="L189" s="309" t="s">
        <v>1012</v>
      </c>
      <c r="M189" s="309"/>
      <c r="N189" s="309" t="s">
        <v>1013</v>
      </c>
      <c r="O189" s="309"/>
      <c r="P189" s="309" t="s">
        <v>1014</v>
      </c>
      <c r="Q189" s="309"/>
      <c r="R189" s="309"/>
      <c r="S189" s="309"/>
      <c r="T189" s="309"/>
      <c r="U189" s="309"/>
      <c r="V189" s="309"/>
      <c r="W189" s="309"/>
      <c r="X189" s="309"/>
    </row>
    <row r="190" spans="2:24" ht="14.25" customHeight="1">
      <c r="B190" s="459" t="s">
        <v>1015</v>
      </c>
      <c r="C190" s="459"/>
      <c r="D190" s="309" t="s">
        <v>1016</v>
      </c>
      <c r="E190" s="309"/>
      <c r="F190" s="309"/>
      <c r="G190" s="444" t="s">
        <v>1017</v>
      </c>
      <c r="H190" s="445">
        <v>1</v>
      </c>
      <c r="I190" s="446" t="s">
        <v>1018</v>
      </c>
      <c r="J190" s="353" t="s">
        <v>1019</v>
      </c>
      <c r="K190" s="394">
        <f>H190*R190</f>
        <v>6.5</v>
      </c>
      <c r="L190" s="425">
        <f>$L$234</f>
        <v>33710</v>
      </c>
      <c r="M190" s="448"/>
      <c r="N190" s="395">
        <f t="shared" ref="N190:N195" si="3">L190*K190</f>
        <v>219115</v>
      </c>
      <c r="O190" s="395"/>
      <c r="P190" s="224" t="s">
        <v>1053</v>
      </c>
      <c r="Q190" s="224"/>
      <c r="R190" s="450">
        <f>'[1]日数 (1)'!D434</f>
        <v>6.5</v>
      </c>
      <c r="S190" s="453" t="s">
        <v>183</v>
      </c>
      <c r="T190" s="318" t="s">
        <v>1022</v>
      </c>
      <c r="U190" s="452" t="s">
        <v>1023</v>
      </c>
      <c r="V190" s="452"/>
      <c r="W190" s="453"/>
      <c r="X190" s="454"/>
    </row>
    <row r="191" spans="2:24" ht="14.25" customHeight="1">
      <c r="B191" s="455"/>
      <c r="C191" s="455"/>
      <c r="D191" s="309" t="s">
        <v>1024</v>
      </c>
      <c r="E191" s="309"/>
      <c r="F191" s="309"/>
      <c r="G191" s="444" t="s">
        <v>1017</v>
      </c>
      <c r="H191" s="445">
        <v>6</v>
      </c>
      <c r="I191" s="446" t="s">
        <v>1018</v>
      </c>
      <c r="J191" s="353" t="s">
        <v>1025</v>
      </c>
      <c r="K191" s="394">
        <f>H191*R190</f>
        <v>39</v>
      </c>
      <c r="L191" s="425">
        <f>$L$235</f>
        <v>28930</v>
      </c>
      <c r="M191" s="448"/>
      <c r="N191" s="395">
        <f t="shared" si="3"/>
        <v>1128270</v>
      </c>
      <c r="O191" s="395"/>
      <c r="P191" s="148"/>
      <c r="Q191" s="148"/>
      <c r="R191" s="148"/>
      <c r="S191" s="148"/>
      <c r="T191" s="148"/>
      <c r="U191" s="148"/>
      <c r="V191" s="148"/>
      <c r="W191" s="148"/>
      <c r="X191" s="457"/>
    </row>
    <row r="192" spans="2:24" ht="14.25" customHeight="1">
      <c r="B192" s="458"/>
      <c r="C192" s="458"/>
      <c r="D192" s="309" t="s">
        <v>1026</v>
      </c>
      <c r="E192" s="309"/>
      <c r="F192" s="309"/>
      <c r="G192" s="444" t="s">
        <v>1017</v>
      </c>
      <c r="H192" s="445">
        <v>1</v>
      </c>
      <c r="I192" s="446" t="s">
        <v>1018</v>
      </c>
      <c r="J192" s="353" t="s">
        <v>1025</v>
      </c>
      <c r="K192" s="394">
        <f>H192*R190</f>
        <v>6.5</v>
      </c>
      <c r="L192" s="425">
        <f>$L$236</f>
        <v>18800</v>
      </c>
      <c r="M192" s="448"/>
      <c r="N192" s="395">
        <f t="shared" si="3"/>
        <v>122200</v>
      </c>
      <c r="O192" s="395"/>
      <c r="P192" s="148"/>
      <c r="Q192" s="148"/>
      <c r="R192" s="148"/>
      <c r="S192" s="148"/>
      <c r="T192" s="148"/>
      <c r="U192" s="148"/>
      <c r="V192" s="148"/>
      <c r="W192" s="148"/>
      <c r="X192" s="457"/>
    </row>
    <row r="193" spans="2:24" ht="14.25" customHeight="1">
      <c r="B193" s="459" t="s">
        <v>1027</v>
      </c>
      <c r="C193" s="459"/>
      <c r="D193" s="251" t="s">
        <v>1116</v>
      </c>
      <c r="E193" s="309"/>
      <c r="F193" s="309"/>
      <c r="G193" s="309"/>
      <c r="H193" s="309"/>
      <c r="I193" s="309"/>
      <c r="J193" s="353" t="s">
        <v>183</v>
      </c>
      <c r="K193" s="394">
        <f>ROUND('[1]基本 (1)'!D221,1)</f>
        <v>116</v>
      </c>
      <c r="L193" s="395">
        <f>ROUND(P193*1.07,0)</f>
        <v>47990</v>
      </c>
      <c r="M193" s="395"/>
      <c r="N193" s="395">
        <f t="shared" si="3"/>
        <v>5566840</v>
      </c>
      <c r="O193" s="395"/>
      <c r="P193" s="522">
        <f>'[1]日数 (1)'!I474</f>
        <v>44850.460000000006</v>
      </c>
      <c r="Q193" s="149" t="s">
        <v>1034</v>
      </c>
      <c r="R193" s="198">
        <v>1.07</v>
      </c>
      <c r="S193" s="501" t="s">
        <v>1113</v>
      </c>
      <c r="T193" s="518"/>
      <c r="U193" s="519" t="s">
        <v>1117</v>
      </c>
      <c r="V193" s="520"/>
      <c r="W193" s="520"/>
      <c r="X193" s="521"/>
    </row>
    <row r="194" spans="2:24" ht="14.25" customHeight="1">
      <c r="B194" s="455"/>
      <c r="C194" s="455"/>
      <c r="D194" s="312" t="s">
        <v>1118</v>
      </c>
      <c r="E194" s="408"/>
      <c r="F194" s="409"/>
      <c r="G194" s="309"/>
      <c r="H194" s="309"/>
      <c r="I194" s="309"/>
      <c r="J194" s="461" t="s">
        <v>1025</v>
      </c>
      <c r="K194" s="523">
        <v>0</v>
      </c>
      <c r="L194" s="494">
        <v>0</v>
      </c>
      <c r="M194" s="494"/>
      <c r="N194" s="395">
        <f t="shared" si="3"/>
        <v>0</v>
      </c>
      <c r="O194" s="395"/>
      <c r="P194" s="153" t="s">
        <v>1119</v>
      </c>
      <c r="Q194" s="149"/>
      <c r="R194" s="149"/>
      <c r="S194" s="149"/>
      <c r="T194" s="150"/>
      <c r="U194" s="146"/>
      <c r="V194" s="148"/>
      <c r="W194" s="148"/>
      <c r="X194" s="457"/>
    </row>
    <row r="195" spans="2:24" ht="14.25" customHeight="1">
      <c r="B195" s="455"/>
      <c r="C195" s="455"/>
      <c r="D195" s="487" t="s">
        <v>1058</v>
      </c>
      <c r="E195" s="488"/>
      <c r="F195" s="488"/>
      <c r="G195" s="487" t="s">
        <v>1046</v>
      </c>
      <c r="H195" s="488"/>
      <c r="I195" s="488"/>
      <c r="J195" s="461" t="s">
        <v>1025</v>
      </c>
      <c r="K195" s="473">
        <f>ROUND('[1]日数 (1)'!D439,0)</f>
        <v>3</v>
      </c>
      <c r="L195" s="492">
        <f>VLOOKUP("全国平均",[1]クレーン単価!A1:O57,4,FALSE)</f>
        <v>49000</v>
      </c>
      <c r="M195" s="492"/>
      <c r="N195" s="492">
        <f t="shared" si="3"/>
        <v>147000</v>
      </c>
      <c r="O195" s="492"/>
      <c r="P195" s="148"/>
      <c r="Q195" s="148"/>
      <c r="R195" s="148"/>
      <c r="S195" s="148"/>
      <c r="T195" s="148"/>
      <c r="U195" s="148"/>
      <c r="V195" s="148"/>
      <c r="W195" s="148"/>
      <c r="X195" s="457"/>
    </row>
    <row r="196" spans="2:24" ht="14.25" customHeight="1">
      <c r="B196" s="455"/>
      <c r="C196" s="455"/>
      <c r="D196" s="458"/>
      <c r="E196" s="458"/>
      <c r="F196" s="458"/>
      <c r="G196" s="458" t="s">
        <v>1047</v>
      </c>
      <c r="H196" s="458"/>
      <c r="I196" s="458"/>
      <c r="J196" s="468"/>
      <c r="K196" s="469"/>
      <c r="L196" s="493"/>
      <c r="M196" s="493"/>
      <c r="N196" s="493"/>
      <c r="O196" s="493"/>
      <c r="P196" s="148"/>
      <c r="Q196" s="148"/>
      <c r="R196" s="148"/>
      <c r="S196" s="148"/>
      <c r="T196" s="148"/>
      <c r="U196" s="148"/>
      <c r="V196" s="148"/>
      <c r="W196" s="148"/>
      <c r="X196" s="457"/>
    </row>
    <row r="197" spans="2:24" ht="14.25" customHeight="1">
      <c r="B197" s="455"/>
      <c r="C197" s="455"/>
      <c r="D197" s="309" t="s">
        <v>1059</v>
      </c>
      <c r="E197" s="309"/>
      <c r="F197" s="309"/>
      <c r="G197" s="309"/>
      <c r="H197" s="309"/>
      <c r="I197" s="309"/>
      <c r="J197" s="353" t="s">
        <v>1025</v>
      </c>
      <c r="K197" s="394">
        <f>T197</f>
        <v>11</v>
      </c>
      <c r="L197" s="494">
        <v>9830</v>
      </c>
      <c r="M197" s="494"/>
      <c r="N197" s="395">
        <f>L197*K197</f>
        <v>108130</v>
      </c>
      <c r="O197" s="395"/>
      <c r="P197" s="151">
        <f>R190</f>
        <v>6.5</v>
      </c>
      <c r="Q197" s="149" t="s">
        <v>1034</v>
      </c>
      <c r="R197" s="150">
        <v>1.7</v>
      </c>
      <c r="S197" s="149" t="s">
        <v>1055</v>
      </c>
      <c r="T197" s="186">
        <f>ROUND(P197*R197,0)</f>
        <v>11</v>
      </c>
      <c r="U197" s="146" t="s">
        <v>1060</v>
      </c>
      <c r="V197" s="148"/>
      <c r="W197" s="148"/>
      <c r="X197" s="457"/>
    </row>
    <row r="198" spans="2:24" ht="14.25" customHeight="1">
      <c r="B198" s="458"/>
      <c r="C198" s="458"/>
      <c r="D198" s="309" t="s">
        <v>1061</v>
      </c>
      <c r="E198" s="309"/>
      <c r="F198" s="309"/>
      <c r="G198" s="251" t="s">
        <v>1062</v>
      </c>
      <c r="H198" s="309"/>
      <c r="I198" s="309"/>
      <c r="J198" s="353" t="s">
        <v>1025</v>
      </c>
      <c r="K198" s="394">
        <f>T197</f>
        <v>11</v>
      </c>
      <c r="L198" s="494">
        <v>6300</v>
      </c>
      <c r="M198" s="494"/>
      <c r="N198" s="395">
        <f>L198*K198</f>
        <v>69300</v>
      </c>
      <c r="O198" s="395"/>
      <c r="P198" s="148"/>
      <c r="Q198" s="148"/>
      <c r="R198" s="148"/>
      <c r="S198" s="148"/>
      <c r="T198" s="148"/>
      <c r="U198" s="148"/>
      <c r="V198" s="148"/>
      <c r="W198" s="148"/>
      <c r="X198" s="457"/>
    </row>
    <row r="199" spans="2:24" ht="14.25" customHeight="1">
      <c r="B199" s="309" t="s">
        <v>1035</v>
      </c>
      <c r="C199" s="309"/>
      <c r="D199" s="309"/>
      <c r="E199" s="309"/>
      <c r="F199" s="309"/>
      <c r="G199" s="309"/>
      <c r="H199" s="309"/>
      <c r="I199" s="309"/>
      <c r="J199" s="353" t="s">
        <v>1036</v>
      </c>
      <c r="K199" s="406">
        <v>1</v>
      </c>
      <c r="L199" s="396"/>
      <c r="M199" s="396"/>
      <c r="N199" s="395">
        <f>(N190+N191+N192)*(R199/100)</f>
        <v>58783.4</v>
      </c>
      <c r="O199" s="395"/>
      <c r="P199" s="146" t="s">
        <v>1037</v>
      </c>
      <c r="Q199" s="149" t="s">
        <v>1034</v>
      </c>
      <c r="R199" s="150">
        <v>4</v>
      </c>
      <c r="S199" s="148" t="s">
        <v>1038</v>
      </c>
      <c r="T199" s="148"/>
      <c r="U199" s="148"/>
      <c r="V199" s="148"/>
      <c r="W199" s="148"/>
      <c r="X199" s="457"/>
    </row>
    <row r="200" spans="2:24" ht="14.25" customHeight="1">
      <c r="B200" s="309"/>
      <c r="C200" s="309"/>
      <c r="D200" s="309" t="s">
        <v>606</v>
      </c>
      <c r="E200" s="309"/>
      <c r="F200" s="309"/>
      <c r="G200" s="309"/>
      <c r="H200" s="309"/>
      <c r="I200" s="309"/>
      <c r="J200" s="434"/>
      <c r="K200" s="394">
        <f>'[1]日数 (1)'!D419</f>
        <v>8.7200000000000006</v>
      </c>
      <c r="L200" s="425">
        <f>INT(Cel工事_送出し設備工降下設備工_金額計 / Cel工事_送出し設備工降下設備工_数量計)</f>
        <v>850875</v>
      </c>
      <c r="M200" s="420"/>
      <c r="N200" s="395">
        <f>SUM(N190:O199)</f>
        <v>7419638.4000000004</v>
      </c>
      <c r="O200" s="395"/>
      <c r="P200" s="478"/>
      <c r="Q200" s="478"/>
      <c r="R200" s="478"/>
      <c r="S200" s="478"/>
      <c r="T200" s="478"/>
      <c r="U200" s="478"/>
      <c r="V200" s="478"/>
      <c r="W200" s="478"/>
      <c r="X200" s="446"/>
    </row>
    <row r="201" spans="2:24" ht="14.25" customHeight="1"/>
    <row r="202" spans="2:24" ht="14.25" customHeight="1"/>
    <row r="203" spans="2:24" ht="14.25" customHeight="1">
      <c r="B203" s="143" t="s">
        <v>1120</v>
      </c>
      <c r="V203" s="159"/>
    </row>
    <row r="204" spans="2:24" ht="14.25" customHeight="1">
      <c r="B204" s="309" t="s">
        <v>1010</v>
      </c>
      <c r="C204" s="309"/>
      <c r="D204" s="251" t="s">
        <v>930</v>
      </c>
      <c r="E204" s="309"/>
      <c r="F204" s="309"/>
      <c r="G204" s="309" t="s">
        <v>1011</v>
      </c>
      <c r="H204" s="309"/>
      <c r="I204" s="309"/>
      <c r="J204" s="353" t="s">
        <v>931</v>
      </c>
      <c r="K204" s="353" t="s">
        <v>932</v>
      </c>
      <c r="L204" s="309" t="s">
        <v>1012</v>
      </c>
      <c r="M204" s="309"/>
      <c r="N204" s="309" t="s">
        <v>1013</v>
      </c>
      <c r="O204" s="309"/>
      <c r="P204" s="309" t="s">
        <v>1014</v>
      </c>
      <c r="Q204" s="309"/>
      <c r="R204" s="309"/>
      <c r="S204" s="309"/>
      <c r="T204" s="309"/>
      <c r="U204" s="309"/>
      <c r="V204" s="309"/>
      <c r="W204" s="309"/>
      <c r="X204" s="309"/>
    </row>
    <row r="205" spans="2:24" ht="14.25" customHeight="1">
      <c r="B205" s="459" t="s">
        <v>1015</v>
      </c>
      <c r="C205" s="459"/>
      <c r="D205" s="309" t="s">
        <v>1016</v>
      </c>
      <c r="E205" s="309"/>
      <c r="F205" s="309"/>
      <c r="G205" s="444" t="s">
        <v>1017</v>
      </c>
      <c r="H205" s="445">
        <v>1</v>
      </c>
      <c r="I205" s="446" t="s">
        <v>1018</v>
      </c>
      <c r="J205" s="353" t="s">
        <v>1019</v>
      </c>
      <c r="K205" s="394">
        <f>H205*R205</f>
        <v>11.7</v>
      </c>
      <c r="L205" s="425">
        <f>$L$234</f>
        <v>33710</v>
      </c>
      <c r="M205" s="448"/>
      <c r="N205" s="395">
        <f t="shared" ref="N205:N210" si="4">L205*K205</f>
        <v>394407</v>
      </c>
      <c r="O205" s="395"/>
      <c r="P205" s="224" t="s">
        <v>1053</v>
      </c>
      <c r="Q205" s="224"/>
      <c r="R205" s="450">
        <f>'[1]日数 (1)'!D496</f>
        <v>11.7</v>
      </c>
      <c r="S205" s="453" t="s">
        <v>183</v>
      </c>
      <c r="T205" s="318" t="s">
        <v>1022</v>
      </c>
      <c r="U205" s="452" t="s">
        <v>1023</v>
      </c>
      <c r="V205" s="452"/>
      <c r="W205" s="453"/>
      <c r="X205" s="454"/>
    </row>
    <row r="206" spans="2:24" ht="14.25" customHeight="1">
      <c r="B206" s="455"/>
      <c r="C206" s="455"/>
      <c r="D206" s="309" t="s">
        <v>1024</v>
      </c>
      <c r="E206" s="309"/>
      <c r="F206" s="309"/>
      <c r="G206" s="444" t="s">
        <v>1017</v>
      </c>
      <c r="H206" s="445">
        <v>7</v>
      </c>
      <c r="I206" s="446" t="s">
        <v>1018</v>
      </c>
      <c r="J206" s="353" t="s">
        <v>1025</v>
      </c>
      <c r="K206" s="394">
        <f>H206*R205</f>
        <v>81.899999999999991</v>
      </c>
      <c r="L206" s="425">
        <f>$L$235</f>
        <v>28930</v>
      </c>
      <c r="M206" s="448"/>
      <c r="N206" s="395">
        <f t="shared" si="4"/>
        <v>2369366.9999999995</v>
      </c>
      <c r="O206" s="395"/>
      <c r="P206" s="148"/>
      <c r="Q206" s="148"/>
      <c r="R206" s="148"/>
      <c r="S206" s="148"/>
      <c r="T206" s="148"/>
      <c r="U206" s="148"/>
      <c r="V206" s="148"/>
      <c r="W206" s="148"/>
      <c r="X206" s="457"/>
    </row>
    <row r="207" spans="2:24" ht="14.25" customHeight="1">
      <c r="B207" s="458"/>
      <c r="C207" s="458"/>
      <c r="D207" s="309" t="s">
        <v>1026</v>
      </c>
      <c r="E207" s="309"/>
      <c r="F207" s="309"/>
      <c r="G207" s="444" t="s">
        <v>1017</v>
      </c>
      <c r="H207" s="445">
        <v>1</v>
      </c>
      <c r="I207" s="446" t="s">
        <v>1018</v>
      </c>
      <c r="J207" s="353" t="s">
        <v>1025</v>
      </c>
      <c r="K207" s="394">
        <f>H207*R205</f>
        <v>11.7</v>
      </c>
      <c r="L207" s="425">
        <f>$L$236</f>
        <v>18800</v>
      </c>
      <c r="M207" s="448"/>
      <c r="N207" s="395">
        <f t="shared" si="4"/>
        <v>219960</v>
      </c>
      <c r="O207" s="395"/>
      <c r="P207" s="148"/>
      <c r="Q207" s="148"/>
      <c r="R207" s="148"/>
      <c r="S207" s="148"/>
      <c r="T207" s="148"/>
      <c r="U207" s="148"/>
      <c r="V207" s="148"/>
      <c r="W207" s="148"/>
      <c r="X207" s="457"/>
    </row>
    <row r="208" spans="2:24" ht="14.25" customHeight="1">
      <c r="B208" s="459" t="s">
        <v>1027</v>
      </c>
      <c r="C208" s="459"/>
      <c r="D208" s="251" t="s">
        <v>1121</v>
      </c>
      <c r="E208" s="309"/>
      <c r="F208" s="309"/>
      <c r="G208" s="309"/>
      <c r="H208" s="309"/>
      <c r="I208" s="309"/>
      <c r="J208" s="461" t="s">
        <v>1025</v>
      </c>
      <c r="K208" s="394">
        <f>ROUND('[1]基本 (1)'!D231,1)</f>
        <v>162</v>
      </c>
      <c r="L208" s="395">
        <f>'[1]日数 (1)'!J487</f>
        <v>10300</v>
      </c>
      <c r="M208" s="395"/>
      <c r="N208" s="395">
        <f t="shared" si="4"/>
        <v>1668600</v>
      </c>
      <c r="O208" s="395"/>
      <c r="P208" s="153"/>
      <c r="Q208" s="149"/>
      <c r="R208" s="150"/>
      <c r="S208" s="149"/>
      <c r="T208" s="507"/>
      <c r="U208" s="146"/>
      <c r="V208" s="148"/>
      <c r="W208" s="148"/>
      <c r="X208" s="457"/>
    </row>
    <row r="209" spans="2:24" ht="14.25" customHeight="1">
      <c r="B209" s="455"/>
      <c r="C209" s="455"/>
      <c r="D209" s="312" t="s">
        <v>1122</v>
      </c>
      <c r="E209" s="408"/>
      <c r="F209" s="409"/>
      <c r="G209" s="309"/>
      <c r="H209" s="309"/>
      <c r="I209" s="309"/>
      <c r="J209" s="461" t="s">
        <v>1025</v>
      </c>
      <c r="K209" s="394">
        <f>K208</f>
        <v>162</v>
      </c>
      <c r="L209" s="395">
        <f>'[1]日数 (1)'!N487</f>
        <v>33300</v>
      </c>
      <c r="M209" s="395"/>
      <c r="N209" s="395">
        <f t="shared" si="4"/>
        <v>5394600</v>
      </c>
      <c r="O209" s="395"/>
      <c r="P209" s="153"/>
      <c r="Q209" s="149"/>
      <c r="R209" s="149"/>
      <c r="S209" s="149"/>
      <c r="T209" s="150"/>
      <c r="U209" s="146"/>
      <c r="V209" s="148"/>
      <c r="W209" s="148"/>
      <c r="X209" s="457"/>
    </row>
    <row r="210" spans="2:24" ht="14.25" customHeight="1">
      <c r="B210" s="455"/>
      <c r="C210" s="455"/>
      <c r="D210" s="487" t="s">
        <v>1058</v>
      </c>
      <c r="E210" s="488"/>
      <c r="F210" s="488"/>
      <c r="G210" s="524" t="str">
        <f ca="1">IF('[1]クレーン (1)'!D76&lt;=100,"ラフテレーンクレーン","トラッククレーン")</f>
        <v>ラフテレーンクレーン</v>
      </c>
      <c r="H210" s="509"/>
      <c r="I210" s="510"/>
      <c r="J210" s="461" t="s">
        <v>1025</v>
      </c>
      <c r="K210" s="473">
        <f>ROUND(R205,0)</f>
        <v>12</v>
      </c>
      <c r="L210" s="492">
        <f ca="1">VLOOKUP("全国平均",[1]クレーン単価!A1:O57,RANK('[1]クレーン (1)'!D76,[1]クレーン単価!B1:O1,1)+1,FALSE)</f>
        <v>88000</v>
      </c>
      <c r="M210" s="492"/>
      <c r="N210" s="492">
        <f t="shared" ca="1" si="4"/>
        <v>1056000</v>
      </c>
      <c r="O210" s="492"/>
      <c r="P210" s="148"/>
      <c r="Q210" s="148"/>
      <c r="R210" s="148"/>
      <c r="S210" s="148"/>
      <c r="T210" s="148"/>
      <c r="U210" s="148"/>
      <c r="V210" s="148"/>
      <c r="W210" s="148"/>
      <c r="X210" s="457"/>
    </row>
    <row r="211" spans="2:24" ht="14.25" customHeight="1">
      <c r="B211" s="455"/>
      <c r="C211" s="455"/>
      <c r="D211" s="458"/>
      <c r="E211" s="458"/>
      <c r="F211" s="458"/>
      <c r="G211" s="511" t="str">
        <f ca="1">'[1]クレーン (1)'!D76&amp;"ｔ吊り"</f>
        <v>45ｔ吊り</v>
      </c>
      <c r="H211" s="511"/>
      <c r="I211" s="511"/>
      <c r="J211" s="468"/>
      <c r="K211" s="469"/>
      <c r="L211" s="493"/>
      <c r="M211" s="493"/>
      <c r="N211" s="493"/>
      <c r="O211" s="493"/>
      <c r="P211" s="148"/>
      <c r="Q211" s="148"/>
      <c r="R211" s="148"/>
      <c r="S211" s="148"/>
      <c r="T211" s="148"/>
      <c r="U211" s="148"/>
      <c r="V211" s="148"/>
      <c r="W211" s="148"/>
      <c r="X211" s="457"/>
    </row>
    <row r="212" spans="2:24" ht="14.25" customHeight="1">
      <c r="B212" s="455"/>
      <c r="C212" s="455"/>
      <c r="D212" s="309" t="s">
        <v>1059</v>
      </c>
      <c r="E212" s="309"/>
      <c r="F212" s="309"/>
      <c r="G212" s="309"/>
      <c r="H212" s="309"/>
      <c r="I212" s="309"/>
      <c r="J212" s="353" t="s">
        <v>1025</v>
      </c>
      <c r="K212" s="394">
        <f>T212</f>
        <v>20</v>
      </c>
      <c r="L212" s="494">
        <v>9830</v>
      </c>
      <c r="M212" s="494"/>
      <c r="N212" s="395">
        <f>L212*K212</f>
        <v>196600</v>
      </c>
      <c r="O212" s="395"/>
      <c r="P212" s="151">
        <f>R205</f>
        <v>11.7</v>
      </c>
      <c r="Q212" s="149" t="s">
        <v>1034</v>
      </c>
      <c r="R212" s="150">
        <v>1.7</v>
      </c>
      <c r="S212" s="149" t="s">
        <v>1055</v>
      </c>
      <c r="T212" s="186">
        <f>ROUND(P212*R212,0)</f>
        <v>20</v>
      </c>
      <c r="U212" s="146" t="s">
        <v>1060</v>
      </c>
      <c r="V212" s="148"/>
      <c r="W212" s="148"/>
      <c r="X212" s="457"/>
    </row>
    <row r="213" spans="2:24" ht="14.25" customHeight="1">
      <c r="B213" s="458"/>
      <c r="C213" s="458"/>
      <c r="D213" s="309" t="s">
        <v>1061</v>
      </c>
      <c r="E213" s="309"/>
      <c r="F213" s="309"/>
      <c r="G213" s="251" t="s">
        <v>1067</v>
      </c>
      <c r="H213" s="309"/>
      <c r="I213" s="309"/>
      <c r="J213" s="353" t="s">
        <v>1025</v>
      </c>
      <c r="K213" s="394">
        <f>T212</f>
        <v>20</v>
      </c>
      <c r="L213" s="494">
        <v>6300</v>
      </c>
      <c r="M213" s="494"/>
      <c r="N213" s="395">
        <f>L213*K213</f>
        <v>126000</v>
      </c>
      <c r="O213" s="395"/>
      <c r="P213" s="148"/>
      <c r="Q213" s="148"/>
      <c r="R213" s="148"/>
      <c r="S213" s="148"/>
      <c r="T213" s="148"/>
      <c r="U213" s="148"/>
      <c r="V213" s="148"/>
      <c r="W213" s="148"/>
      <c r="X213" s="457"/>
    </row>
    <row r="214" spans="2:24" ht="14.25" customHeight="1">
      <c r="B214" s="309" t="s">
        <v>1035</v>
      </c>
      <c r="C214" s="309"/>
      <c r="D214" s="309"/>
      <c r="E214" s="309"/>
      <c r="F214" s="309"/>
      <c r="G214" s="309"/>
      <c r="H214" s="309"/>
      <c r="I214" s="309"/>
      <c r="J214" s="353" t="s">
        <v>1036</v>
      </c>
      <c r="K214" s="406">
        <v>1</v>
      </c>
      <c r="L214" s="396"/>
      <c r="M214" s="396"/>
      <c r="N214" s="395">
        <f>(N205+N206+N207)*(R214/100)</f>
        <v>149186.69999999998</v>
      </c>
      <c r="O214" s="395"/>
      <c r="P214" s="146" t="s">
        <v>1037</v>
      </c>
      <c r="Q214" s="149" t="s">
        <v>1034</v>
      </c>
      <c r="R214" s="150">
        <v>5</v>
      </c>
      <c r="S214" s="148" t="s">
        <v>1038</v>
      </c>
      <c r="T214" s="148"/>
      <c r="U214" s="148"/>
      <c r="V214" s="148"/>
      <c r="W214" s="148"/>
      <c r="X214" s="457"/>
    </row>
    <row r="215" spans="2:24" ht="14.25" customHeight="1">
      <c r="B215" s="309"/>
      <c r="C215" s="309"/>
      <c r="D215" s="309" t="s">
        <v>606</v>
      </c>
      <c r="E215" s="309"/>
      <c r="F215" s="309"/>
      <c r="G215" s="309"/>
      <c r="H215" s="309"/>
      <c r="I215" s="309"/>
      <c r="J215" s="434"/>
      <c r="K215" s="406"/>
      <c r="L215" s="419"/>
      <c r="M215" s="420"/>
      <c r="N215" s="395">
        <f ca="1">SUM(N205:O214)</f>
        <v>11574720.699999999</v>
      </c>
      <c r="O215" s="395"/>
      <c r="P215" s="478"/>
      <c r="Q215" s="478"/>
      <c r="R215" s="478"/>
      <c r="S215" s="478"/>
      <c r="T215" s="478"/>
      <c r="U215" s="478"/>
      <c r="V215" s="478"/>
      <c r="W215" s="478"/>
      <c r="X215" s="446"/>
    </row>
    <row r="216" spans="2:24" ht="14.25" customHeight="1"/>
    <row r="217" spans="2:24" ht="14.25" customHeight="1"/>
    <row r="218" spans="2:24" ht="14.25" customHeight="1">
      <c r="B218" s="143" t="s">
        <v>1123</v>
      </c>
      <c r="V218" s="155"/>
    </row>
    <row r="219" spans="2:24" ht="14.25" customHeight="1">
      <c r="B219" s="309" t="s">
        <v>1010</v>
      </c>
      <c r="C219" s="309"/>
      <c r="D219" s="251" t="s">
        <v>930</v>
      </c>
      <c r="E219" s="309"/>
      <c r="F219" s="309"/>
      <c r="G219" s="309" t="s">
        <v>1011</v>
      </c>
      <c r="H219" s="309"/>
      <c r="I219" s="309"/>
      <c r="J219" s="353" t="s">
        <v>931</v>
      </c>
      <c r="K219" s="353" t="s">
        <v>932</v>
      </c>
      <c r="L219" s="309" t="s">
        <v>1012</v>
      </c>
      <c r="M219" s="309"/>
      <c r="N219" s="309" t="s">
        <v>1013</v>
      </c>
      <c r="O219" s="309"/>
      <c r="P219" s="433" t="s">
        <v>1014</v>
      </c>
      <c r="Q219" s="309"/>
      <c r="R219" s="309"/>
      <c r="S219" s="309"/>
      <c r="T219" s="309"/>
      <c r="U219" s="309"/>
      <c r="V219" s="309"/>
      <c r="W219" s="309"/>
      <c r="X219" s="309"/>
    </row>
    <row r="220" spans="2:24" ht="14.25" customHeight="1">
      <c r="B220" s="459" t="s">
        <v>1015</v>
      </c>
      <c r="C220" s="459"/>
      <c r="D220" s="309" t="s">
        <v>1016</v>
      </c>
      <c r="E220" s="309"/>
      <c r="F220" s="309"/>
      <c r="G220" s="444" t="s">
        <v>1017</v>
      </c>
      <c r="H220" s="445">
        <v>1</v>
      </c>
      <c r="I220" s="446" t="s">
        <v>1018</v>
      </c>
      <c r="J220" s="353" t="s">
        <v>1019</v>
      </c>
      <c r="K220" s="394">
        <f>H220*R220</f>
        <v>12</v>
      </c>
      <c r="L220" s="395">
        <f>$L$234</f>
        <v>33710</v>
      </c>
      <c r="M220" s="395"/>
      <c r="N220" s="395">
        <f>K220*L220</f>
        <v>404520</v>
      </c>
      <c r="O220" s="395"/>
      <c r="P220" s="224" t="s">
        <v>1053</v>
      </c>
      <c r="Q220" s="224"/>
      <c r="R220" s="450">
        <f>'[1]日数 (1)'!D547</f>
        <v>12</v>
      </c>
      <c r="S220" s="453" t="s">
        <v>183</v>
      </c>
      <c r="T220" s="318" t="s">
        <v>1022</v>
      </c>
      <c r="U220" s="452" t="s">
        <v>1023</v>
      </c>
      <c r="V220" s="452"/>
      <c r="W220" s="453"/>
      <c r="X220" s="454"/>
    </row>
    <row r="221" spans="2:24" ht="14.25" customHeight="1">
      <c r="B221" s="455"/>
      <c r="C221" s="455"/>
      <c r="D221" s="309" t="s">
        <v>1024</v>
      </c>
      <c r="E221" s="309"/>
      <c r="F221" s="309"/>
      <c r="G221" s="444" t="s">
        <v>1017</v>
      </c>
      <c r="H221" s="445">
        <v>5</v>
      </c>
      <c r="I221" s="446" t="s">
        <v>1018</v>
      </c>
      <c r="J221" s="353" t="s">
        <v>1025</v>
      </c>
      <c r="K221" s="394">
        <f>H221*R220</f>
        <v>60</v>
      </c>
      <c r="L221" s="395">
        <f>$L$235</f>
        <v>28930</v>
      </c>
      <c r="M221" s="395"/>
      <c r="N221" s="395">
        <f>K221*L221</f>
        <v>1735800</v>
      </c>
      <c r="O221" s="395"/>
      <c r="P221" s="148"/>
      <c r="Q221" s="148"/>
      <c r="R221" s="148"/>
      <c r="S221" s="148"/>
      <c r="T221" s="148"/>
      <c r="U221" s="148"/>
      <c r="V221" s="148"/>
      <c r="W221" s="148"/>
      <c r="X221" s="457"/>
    </row>
    <row r="222" spans="2:24" ht="14.25" customHeight="1">
      <c r="B222" s="458"/>
      <c r="C222" s="458"/>
      <c r="D222" s="309" t="s">
        <v>1026</v>
      </c>
      <c r="E222" s="309"/>
      <c r="F222" s="309"/>
      <c r="G222" s="444" t="s">
        <v>1017</v>
      </c>
      <c r="H222" s="445"/>
      <c r="I222" s="446" t="s">
        <v>1018</v>
      </c>
      <c r="J222" s="353" t="s">
        <v>1025</v>
      </c>
      <c r="K222" s="394">
        <f>H222*R220</f>
        <v>0</v>
      </c>
      <c r="L222" s="395">
        <f>$L$236</f>
        <v>18800</v>
      </c>
      <c r="M222" s="395"/>
      <c r="N222" s="395">
        <f>K222*L222</f>
        <v>0</v>
      </c>
      <c r="O222" s="395"/>
      <c r="P222" s="148"/>
      <c r="Q222" s="148"/>
      <c r="R222" s="148"/>
      <c r="S222" s="148"/>
      <c r="T222" s="148"/>
      <c r="U222" s="148"/>
      <c r="V222" s="148"/>
      <c r="W222" s="148"/>
      <c r="X222" s="457"/>
    </row>
    <row r="223" spans="2:24" ht="14.25" customHeight="1">
      <c r="B223" s="459" t="s">
        <v>1027</v>
      </c>
      <c r="C223" s="459"/>
      <c r="D223" s="251" t="s">
        <v>1124</v>
      </c>
      <c r="E223" s="309"/>
      <c r="F223" s="309"/>
      <c r="G223" s="459"/>
      <c r="H223" s="459"/>
      <c r="I223" s="459"/>
      <c r="J223" s="461" t="s">
        <v>183</v>
      </c>
      <c r="K223" s="473">
        <f>ROUND('[1]基本 (1)'!D293,1)</f>
        <v>99</v>
      </c>
      <c r="L223" s="492">
        <f>U223</f>
        <v>47473</v>
      </c>
      <c r="M223" s="492"/>
      <c r="N223" s="525">
        <f>K223*L223</f>
        <v>4699827</v>
      </c>
      <c r="O223" s="525"/>
      <c r="P223" s="151">
        <f>'[1]日数 (1)'!J510</f>
        <v>80.599999999999994</v>
      </c>
      <c r="Q223" s="149" t="s">
        <v>1050</v>
      </c>
      <c r="R223" s="490">
        <v>589</v>
      </c>
      <c r="S223" s="352" t="s">
        <v>1051</v>
      </c>
      <c r="T223" s="149" t="s">
        <v>1055</v>
      </c>
      <c r="U223" s="491">
        <f>ROUND(P223*R223,0)</f>
        <v>47473</v>
      </c>
      <c r="V223" s="146" t="s">
        <v>1056</v>
      </c>
      <c r="W223" s="148"/>
      <c r="X223" s="457"/>
    </row>
    <row r="224" spans="2:24" ht="14.25" customHeight="1">
      <c r="B224" s="455"/>
      <c r="C224" s="455"/>
      <c r="D224" s="487" t="s">
        <v>1109</v>
      </c>
      <c r="E224" s="488"/>
      <c r="F224" s="488"/>
      <c r="G224" s="392" t="s">
        <v>1110</v>
      </c>
      <c r="H224" s="449"/>
      <c r="I224" s="393"/>
      <c r="J224" s="461" t="s">
        <v>1025</v>
      </c>
      <c r="K224" s="473">
        <f>ROUND(R220,0)</f>
        <v>12</v>
      </c>
      <c r="L224" s="492">
        <f>VLOOKUP("全国平均",[1]クレーン単価!A1:O57,5,FALSE)</f>
        <v>53200</v>
      </c>
      <c r="M224" s="492"/>
      <c r="N224" s="492">
        <f>K224*L224</f>
        <v>638400</v>
      </c>
      <c r="O224" s="492"/>
      <c r="P224" s="148"/>
      <c r="Q224" s="148"/>
      <c r="R224" s="148"/>
      <c r="S224" s="148"/>
      <c r="T224" s="148"/>
      <c r="U224" s="148"/>
      <c r="V224" s="148"/>
      <c r="W224" s="148"/>
      <c r="X224" s="457"/>
    </row>
    <row r="225" spans="2:24" ht="14.25" customHeight="1">
      <c r="B225" s="455"/>
      <c r="C225" s="455"/>
      <c r="D225" s="458"/>
      <c r="E225" s="458"/>
      <c r="F225" s="458"/>
      <c r="G225" s="282" t="s">
        <v>1125</v>
      </c>
      <c r="H225" s="458"/>
      <c r="I225" s="458"/>
      <c r="J225" s="468"/>
      <c r="K225" s="469"/>
      <c r="L225" s="493"/>
      <c r="M225" s="493"/>
      <c r="N225" s="493"/>
      <c r="O225" s="493"/>
      <c r="P225" s="148"/>
      <c r="Q225" s="148"/>
      <c r="R225" s="148"/>
      <c r="S225" s="148"/>
      <c r="T225" s="148"/>
      <c r="U225" s="148"/>
      <c r="V225" s="148"/>
      <c r="W225" s="148"/>
      <c r="X225" s="457"/>
    </row>
    <row r="226" spans="2:24" ht="14.25" customHeight="1">
      <c r="B226" s="455"/>
      <c r="C226" s="455"/>
      <c r="D226" s="309" t="s">
        <v>1059</v>
      </c>
      <c r="E226" s="309"/>
      <c r="F226" s="309"/>
      <c r="G226" s="309"/>
      <c r="H226" s="309"/>
      <c r="I226" s="309"/>
      <c r="J226" s="353" t="s">
        <v>1025</v>
      </c>
      <c r="K226" s="394">
        <f>T226</f>
        <v>20</v>
      </c>
      <c r="L226" s="494">
        <v>9830</v>
      </c>
      <c r="M226" s="494"/>
      <c r="N226" s="395">
        <f>K226*L226</f>
        <v>196600</v>
      </c>
      <c r="O226" s="395"/>
      <c r="P226" s="151">
        <f>R220</f>
        <v>12</v>
      </c>
      <c r="Q226" s="149" t="s">
        <v>1034</v>
      </c>
      <c r="R226" s="150">
        <v>1.7</v>
      </c>
      <c r="S226" s="149" t="s">
        <v>1126</v>
      </c>
      <c r="T226" s="186">
        <f>ROUND(P226*R226,0)</f>
        <v>20</v>
      </c>
      <c r="U226" s="146" t="s">
        <v>1060</v>
      </c>
      <c r="V226" s="148"/>
      <c r="W226" s="148"/>
      <c r="X226" s="457"/>
    </row>
    <row r="227" spans="2:24" ht="14.25" customHeight="1">
      <c r="B227" s="458"/>
      <c r="C227" s="458"/>
      <c r="D227" s="309" t="s">
        <v>1061</v>
      </c>
      <c r="E227" s="309"/>
      <c r="F227" s="309"/>
      <c r="G227" s="251" t="s">
        <v>1067</v>
      </c>
      <c r="H227" s="309"/>
      <c r="I227" s="309"/>
      <c r="J227" s="353" t="s">
        <v>1025</v>
      </c>
      <c r="K227" s="394">
        <f>T226</f>
        <v>20</v>
      </c>
      <c r="L227" s="494">
        <v>6300</v>
      </c>
      <c r="M227" s="494"/>
      <c r="N227" s="395">
        <f>K227*L227</f>
        <v>126000</v>
      </c>
      <c r="O227" s="395"/>
      <c r="P227" s="148"/>
      <c r="Q227" s="148"/>
      <c r="R227" s="148"/>
      <c r="S227" s="148"/>
      <c r="T227" s="148"/>
      <c r="U227" s="148"/>
      <c r="V227" s="148"/>
      <c r="W227" s="148"/>
      <c r="X227" s="457"/>
    </row>
    <row r="228" spans="2:24" ht="14.25" customHeight="1">
      <c r="B228" s="309" t="s">
        <v>1035</v>
      </c>
      <c r="C228" s="309"/>
      <c r="D228" s="459"/>
      <c r="E228" s="459"/>
      <c r="F228" s="459"/>
      <c r="G228" s="459"/>
      <c r="H228" s="459"/>
      <c r="I228" s="459"/>
      <c r="J228" s="461" t="s">
        <v>1036</v>
      </c>
      <c r="K228" s="526">
        <v>1</v>
      </c>
      <c r="L228" s="527"/>
      <c r="M228" s="527"/>
      <c r="N228" s="492">
        <f>(N220+N221+N222)*(R228/100)</f>
        <v>42806.400000000001</v>
      </c>
      <c r="O228" s="492"/>
      <c r="P228" s="150" t="s">
        <v>1015</v>
      </c>
      <c r="Q228" s="150" t="s">
        <v>32</v>
      </c>
      <c r="R228" s="150">
        <v>2</v>
      </c>
      <c r="S228" s="148" t="s">
        <v>1038</v>
      </c>
      <c r="T228" s="148"/>
      <c r="U228" s="148"/>
      <c r="V228" s="148"/>
      <c r="W228" s="148"/>
      <c r="X228" s="457"/>
    </row>
    <row r="229" spans="2:24" ht="14.25" customHeight="1">
      <c r="B229" s="309"/>
      <c r="C229" s="309"/>
      <c r="D229" s="309" t="s">
        <v>606</v>
      </c>
      <c r="E229" s="309"/>
      <c r="F229" s="309"/>
      <c r="G229" s="309"/>
      <c r="H229" s="309"/>
      <c r="I229" s="309"/>
      <c r="J229" s="353"/>
      <c r="K229" s="406"/>
      <c r="L229" s="396"/>
      <c r="M229" s="396"/>
      <c r="N229" s="395">
        <f>SUM(N220:O228)</f>
        <v>7843953.4000000004</v>
      </c>
      <c r="O229" s="395"/>
      <c r="P229" s="478"/>
      <c r="Q229" s="478"/>
      <c r="R229" s="478"/>
      <c r="S229" s="478"/>
      <c r="T229" s="478"/>
      <c r="U229" s="478"/>
      <c r="V229" s="478"/>
      <c r="W229" s="478"/>
      <c r="X229" s="446"/>
    </row>
    <row r="230" spans="2:24" ht="14.25" customHeight="1">
      <c r="B230" s="150"/>
      <c r="C230" s="150"/>
      <c r="D230" s="150"/>
      <c r="E230" s="150"/>
      <c r="F230" s="150"/>
      <c r="G230" s="150"/>
      <c r="H230" s="150"/>
      <c r="I230" s="150"/>
      <c r="J230" s="150"/>
      <c r="K230" s="175"/>
      <c r="L230" s="528"/>
      <c r="M230" s="528"/>
      <c r="N230" s="529"/>
      <c r="O230" s="529"/>
      <c r="P230" s="148"/>
      <c r="Q230" s="148"/>
      <c r="R230" s="148"/>
      <c r="S230" s="148"/>
      <c r="T230" s="148"/>
      <c r="U230" s="148"/>
      <c r="V230" s="148"/>
      <c r="W230" s="148"/>
      <c r="X230" s="148"/>
    </row>
    <row r="231" spans="2:24" ht="14.25" customHeight="1"/>
    <row r="232" spans="2:24" ht="14.25" customHeight="1">
      <c r="B232" s="143" t="s">
        <v>1127</v>
      </c>
      <c r="V232" s="159"/>
    </row>
    <row r="233" spans="2:24" ht="14.25" customHeight="1">
      <c r="B233" s="309" t="s">
        <v>1010</v>
      </c>
      <c r="C233" s="309"/>
      <c r="D233" s="251" t="s">
        <v>930</v>
      </c>
      <c r="E233" s="309"/>
      <c r="F233" s="309"/>
      <c r="G233" s="309" t="s">
        <v>1011</v>
      </c>
      <c r="H233" s="309"/>
      <c r="I233" s="309"/>
      <c r="J233" s="353" t="s">
        <v>931</v>
      </c>
      <c r="K233" s="353" t="s">
        <v>932</v>
      </c>
      <c r="L233" s="309" t="s">
        <v>1012</v>
      </c>
      <c r="M233" s="309"/>
      <c r="N233" s="309" t="s">
        <v>1013</v>
      </c>
      <c r="O233" s="309"/>
      <c r="P233" s="309" t="s">
        <v>1014</v>
      </c>
      <c r="Q233" s="309"/>
      <c r="R233" s="309"/>
      <c r="S233" s="309"/>
      <c r="T233" s="309"/>
      <c r="U233" s="309"/>
      <c r="V233" s="309"/>
      <c r="W233" s="309"/>
      <c r="X233" s="309"/>
    </row>
    <row r="234" spans="2:24" ht="14.25" customHeight="1">
      <c r="B234" s="459" t="s">
        <v>1015</v>
      </c>
      <c r="C234" s="459"/>
      <c r="D234" s="309" t="s">
        <v>1016</v>
      </c>
      <c r="E234" s="309"/>
      <c r="F234" s="309"/>
      <c r="G234" s="444" t="s">
        <v>1017</v>
      </c>
      <c r="H234" s="445">
        <v>1</v>
      </c>
      <c r="I234" s="446" t="s">
        <v>1018</v>
      </c>
      <c r="J234" s="353" t="s">
        <v>1019</v>
      </c>
      <c r="K234" s="394">
        <f>H234*R234</f>
        <v>12.5</v>
      </c>
      <c r="L234" s="395">
        <f>VLOOKUP("全国平均",[1]労務単価!A1:D57,2,FALSE)</f>
        <v>33710</v>
      </c>
      <c r="M234" s="395"/>
      <c r="N234" s="395">
        <f>K234*L234</f>
        <v>421375</v>
      </c>
      <c r="O234" s="395"/>
      <c r="P234" s="224" t="s">
        <v>1053</v>
      </c>
      <c r="Q234" s="224"/>
      <c r="R234" s="450">
        <f>'[1]日数 (1)'!D572</f>
        <v>12.5</v>
      </c>
      <c r="S234" s="453" t="s">
        <v>183</v>
      </c>
      <c r="T234" s="318" t="s">
        <v>1022</v>
      </c>
      <c r="U234" s="452" t="s">
        <v>1094</v>
      </c>
      <c r="V234" s="452"/>
      <c r="W234" s="453"/>
      <c r="X234" s="454"/>
    </row>
    <row r="235" spans="2:24" ht="14.25" customHeight="1">
      <c r="B235" s="455"/>
      <c r="C235" s="455"/>
      <c r="D235" s="309" t="s">
        <v>1024</v>
      </c>
      <c r="E235" s="309"/>
      <c r="F235" s="309"/>
      <c r="G235" s="444" t="s">
        <v>1017</v>
      </c>
      <c r="H235" s="445">
        <v>5</v>
      </c>
      <c r="I235" s="446" t="s">
        <v>1018</v>
      </c>
      <c r="J235" s="353" t="s">
        <v>1025</v>
      </c>
      <c r="K235" s="394">
        <f>H235*R234</f>
        <v>62.5</v>
      </c>
      <c r="L235" s="395">
        <f>VLOOKUP("全国平均",[1]労務単価!A1:D57,3,FALSE)</f>
        <v>28930</v>
      </c>
      <c r="M235" s="395"/>
      <c r="N235" s="395">
        <f>K235*L235</f>
        <v>1808125</v>
      </c>
      <c r="O235" s="395"/>
      <c r="P235" s="456"/>
      <c r="Q235" s="148"/>
      <c r="R235" s="148"/>
      <c r="S235" s="148"/>
      <c r="T235" s="148"/>
      <c r="U235" s="148"/>
      <c r="V235" s="148"/>
      <c r="W235" s="148"/>
      <c r="X235" s="457"/>
    </row>
    <row r="236" spans="2:24" ht="14.25" customHeight="1">
      <c r="B236" s="458"/>
      <c r="C236" s="458"/>
      <c r="D236" s="309" t="s">
        <v>1026</v>
      </c>
      <c r="E236" s="309"/>
      <c r="F236" s="309"/>
      <c r="G236" s="444" t="s">
        <v>1017</v>
      </c>
      <c r="H236" s="445"/>
      <c r="I236" s="446" t="s">
        <v>1018</v>
      </c>
      <c r="J236" s="353" t="s">
        <v>1025</v>
      </c>
      <c r="K236" s="394">
        <f>H236*R234</f>
        <v>0</v>
      </c>
      <c r="L236" s="395">
        <f>VLOOKUP("全国平均",[1]労務単価!A1:D57,4,FALSE)</f>
        <v>18800</v>
      </c>
      <c r="M236" s="395"/>
      <c r="N236" s="395">
        <f>K236*L236</f>
        <v>0</v>
      </c>
      <c r="O236" s="395"/>
      <c r="P236" s="456"/>
      <c r="Q236" s="148"/>
      <c r="R236" s="148"/>
      <c r="S236" s="148"/>
      <c r="T236" s="148"/>
      <c r="U236" s="148"/>
      <c r="V236" s="148"/>
      <c r="W236" s="148"/>
      <c r="X236" s="457"/>
    </row>
    <row r="237" spans="2:24" ht="14.25" customHeight="1">
      <c r="B237" s="459" t="s">
        <v>1027</v>
      </c>
      <c r="C237" s="459"/>
      <c r="D237" s="487" t="s">
        <v>1109</v>
      </c>
      <c r="E237" s="488"/>
      <c r="F237" s="488"/>
      <c r="G237" s="508" t="str">
        <f ca="1">IF('[1]クレーン (1)'!D33&lt;=100,"ラフテレーンクレーン","トラッククレーン")</f>
        <v>ラフテレーンクレーン</v>
      </c>
      <c r="H237" s="509"/>
      <c r="I237" s="510"/>
      <c r="J237" s="461" t="s">
        <v>183</v>
      </c>
      <c r="K237" s="473">
        <f>ROUND(R234,0)</f>
        <v>13</v>
      </c>
      <c r="L237" s="492">
        <f ca="1">VLOOKUP("全国平均",[1]クレーン単価!A1:O57,RANK('[1]クレーン (1)'!D33,[1]クレーン単価!B1:O1,1)+1,FALSE)</f>
        <v>201900</v>
      </c>
      <c r="M237" s="492"/>
      <c r="N237" s="492">
        <f ca="1">K237*L237</f>
        <v>2624700</v>
      </c>
      <c r="O237" s="492"/>
      <c r="P237" s="456"/>
      <c r="Q237" s="148"/>
      <c r="R237" s="148"/>
      <c r="S237" s="148"/>
      <c r="T237" s="148"/>
      <c r="U237" s="148"/>
      <c r="V237" s="148"/>
      <c r="W237" s="148"/>
      <c r="X237" s="457"/>
    </row>
    <row r="238" spans="2:24" ht="14.25" customHeight="1">
      <c r="B238" s="455"/>
      <c r="C238" s="455"/>
      <c r="D238" s="458"/>
      <c r="E238" s="458"/>
      <c r="F238" s="458"/>
      <c r="G238" s="511" t="str">
        <f ca="1">'[1]クレーン (1)'!D33&amp;"ｔ吊り"</f>
        <v>100ｔ吊り</v>
      </c>
      <c r="H238" s="511"/>
      <c r="I238" s="511"/>
      <c r="J238" s="468"/>
      <c r="K238" s="469"/>
      <c r="L238" s="493"/>
      <c r="M238" s="493"/>
      <c r="N238" s="493"/>
      <c r="O238" s="493"/>
      <c r="P238" s="456"/>
      <c r="Q238" s="148"/>
      <c r="R238" s="148"/>
      <c r="S238" s="148"/>
      <c r="T238" s="148"/>
      <c r="U238" s="148"/>
      <c r="V238" s="148"/>
      <c r="W238" s="148"/>
      <c r="X238" s="457"/>
    </row>
    <row r="239" spans="2:24" ht="14.25" customHeight="1">
      <c r="B239" s="455"/>
      <c r="C239" s="455"/>
      <c r="D239" s="309" t="s">
        <v>1059</v>
      </c>
      <c r="E239" s="309"/>
      <c r="F239" s="309"/>
      <c r="G239" s="309"/>
      <c r="H239" s="309"/>
      <c r="I239" s="309"/>
      <c r="J239" s="353" t="s">
        <v>1025</v>
      </c>
      <c r="K239" s="394">
        <f>T239</f>
        <v>21</v>
      </c>
      <c r="L239" s="494">
        <v>9830</v>
      </c>
      <c r="M239" s="494"/>
      <c r="N239" s="395">
        <f>K239*L239</f>
        <v>206430</v>
      </c>
      <c r="O239" s="395"/>
      <c r="P239" s="151">
        <f>R234</f>
        <v>12.5</v>
      </c>
      <c r="Q239" s="149" t="s">
        <v>1034</v>
      </c>
      <c r="R239" s="150">
        <v>1.7</v>
      </c>
      <c r="S239" s="149" t="s">
        <v>1055</v>
      </c>
      <c r="T239" s="186">
        <f>ROUND(P239*R239,0)</f>
        <v>21</v>
      </c>
      <c r="U239" s="146" t="s">
        <v>1060</v>
      </c>
      <c r="V239" s="148"/>
      <c r="W239" s="148"/>
      <c r="X239" s="457"/>
    </row>
    <row r="240" spans="2:24" ht="14.25" customHeight="1">
      <c r="B240" s="455"/>
      <c r="C240" s="455"/>
      <c r="D240" s="309" t="s">
        <v>1061</v>
      </c>
      <c r="E240" s="309"/>
      <c r="F240" s="309"/>
      <c r="G240" s="251" t="s">
        <v>1067</v>
      </c>
      <c r="H240" s="309"/>
      <c r="I240" s="309"/>
      <c r="J240" s="353" t="s">
        <v>1025</v>
      </c>
      <c r="K240" s="394">
        <f>T239</f>
        <v>21</v>
      </c>
      <c r="L240" s="494">
        <v>6300</v>
      </c>
      <c r="M240" s="494"/>
      <c r="N240" s="395">
        <f>K240*L240</f>
        <v>132300</v>
      </c>
      <c r="O240" s="395"/>
      <c r="P240" s="456"/>
      <c r="Q240" s="148"/>
      <c r="R240" s="148"/>
      <c r="S240" s="148"/>
      <c r="T240" s="148"/>
      <c r="U240" s="148"/>
      <c r="V240" s="148"/>
      <c r="W240" s="148"/>
      <c r="X240" s="457"/>
    </row>
    <row r="241" spans="2:24" ht="14.25" customHeight="1">
      <c r="B241" s="455"/>
      <c r="C241" s="455"/>
      <c r="D241" s="309" t="s">
        <v>1128</v>
      </c>
      <c r="E241" s="309"/>
      <c r="F241" s="309"/>
      <c r="G241" s="309"/>
      <c r="H241" s="309"/>
      <c r="I241" s="309"/>
      <c r="J241" s="353" t="s">
        <v>1025</v>
      </c>
      <c r="K241" s="394">
        <f>ROUND('[1]基本 (1)'!D241,1)</f>
        <v>194</v>
      </c>
      <c r="L241" s="395">
        <f>O247</f>
        <v>2596</v>
      </c>
      <c r="M241" s="395"/>
      <c r="N241" s="395">
        <f>K241*L241</f>
        <v>503624</v>
      </c>
      <c r="O241" s="395"/>
      <c r="P241" s="530" t="s">
        <v>1129</v>
      </c>
      <c r="Q241" s="148"/>
      <c r="R241" s="148"/>
      <c r="S241" s="148"/>
      <c r="T241" s="148"/>
      <c r="U241" s="148"/>
      <c r="V241" s="148"/>
      <c r="W241" s="148"/>
      <c r="X241" s="457"/>
    </row>
    <row r="242" spans="2:24" ht="14.25" customHeight="1">
      <c r="B242" s="458"/>
      <c r="C242" s="458"/>
      <c r="D242" s="309" t="s">
        <v>1130</v>
      </c>
      <c r="E242" s="309"/>
      <c r="F242" s="309"/>
      <c r="G242" s="309"/>
      <c r="H242" s="309"/>
      <c r="I242" s="309"/>
      <c r="J242" s="353" t="s">
        <v>1025</v>
      </c>
      <c r="K242" s="394">
        <f>K241</f>
        <v>194</v>
      </c>
      <c r="L242" s="395">
        <f>O250</f>
        <v>2266</v>
      </c>
      <c r="M242" s="395"/>
      <c r="N242" s="395">
        <f>K242*L242</f>
        <v>439604</v>
      </c>
      <c r="O242" s="395"/>
      <c r="P242" s="530" t="s">
        <v>1129</v>
      </c>
      <c r="Q242" s="148"/>
      <c r="R242" s="148"/>
      <c r="S242" s="148"/>
      <c r="T242" s="148"/>
      <c r="U242" s="148"/>
      <c r="V242" s="148"/>
      <c r="W242" s="148"/>
      <c r="X242" s="457"/>
    </row>
    <row r="243" spans="2:24" ht="14.25" customHeight="1">
      <c r="B243" s="459" t="s">
        <v>1035</v>
      </c>
      <c r="C243" s="459"/>
      <c r="D243" s="459"/>
      <c r="E243" s="459"/>
      <c r="F243" s="459"/>
      <c r="G243" s="459"/>
      <c r="H243" s="459"/>
      <c r="I243" s="459"/>
      <c r="J243" s="461" t="s">
        <v>1036</v>
      </c>
      <c r="K243" s="526">
        <v>1</v>
      </c>
      <c r="L243" s="527"/>
      <c r="M243" s="527"/>
      <c r="N243" s="492">
        <f>(N234+N235+N236)*(R243/100)</f>
        <v>245245</v>
      </c>
      <c r="O243" s="492"/>
      <c r="P243" s="150" t="s">
        <v>1037</v>
      </c>
      <c r="Q243" s="150" t="s">
        <v>32</v>
      </c>
      <c r="R243" s="150">
        <v>11</v>
      </c>
      <c r="S243" s="148" t="s">
        <v>1038</v>
      </c>
      <c r="T243" s="148"/>
      <c r="U243" s="148"/>
      <c r="V243" s="148"/>
      <c r="W243" s="148"/>
      <c r="X243" s="457"/>
    </row>
    <row r="244" spans="2:24" ht="14.25" customHeight="1">
      <c r="B244" s="431"/>
      <c r="C244" s="433"/>
      <c r="D244" s="309" t="s">
        <v>606</v>
      </c>
      <c r="E244" s="309"/>
      <c r="F244" s="309"/>
      <c r="G244" s="309"/>
      <c r="H244" s="309"/>
      <c r="I244" s="309"/>
      <c r="J244" s="353"/>
      <c r="K244" s="394">
        <f>'[1]日数 (1)'!H556</f>
        <v>443.8</v>
      </c>
      <c r="L244" s="395">
        <f ca="1">INT(Cel工事_桁架設工主桁組立工_金額計 / Cel工事_桁架設工主桁組立工_数量計)</f>
        <v>14379</v>
      </c>
      <c r="M244" s="396"/>
      <c r="N244" s="395">
        <f ca="1">SUM(N234:O243)</f>
        <v>6381403</v>
      </c>
      <c r="O244" s="395"/>
      <c r="P244" s="477"/>
      <c r="Q244" s="478"/>
      <c r="R244" s="478"/>
      <c r="S244" s="478"/>
      <c r="T244" s="478"/>
      <c r="U244" s="478"/>
      <c r="V244" s="478"/>
      <c r="W244" s="478"/>
      <c r="X244" s="446"/>
    </row>
    <row r="245" spans="2:24" ht="14.25" customHeight="1"/>
    <row r="246" spans="2:24" ht="14.25" customHeight="1">
      <c r="C246" s="157" t="s">
        <v>1131</v>
      </c>
    </row>
    <row r="247" spans="2:24" ht="14.25" customHeight="1">
      <c r="C247" s="213">
        <v>110</v>
      </c>
      <c r="D247" s="154" t="s">
        <v>1132</v>
      </c>
      <c r="E247" s="155">
        <v>100</v>
      </c>
      <c r="F247" s="154" t="s">
        <v>1133</v>
      </c>
      <c r="G247" s="154" t="s">
        <v>1034</v>
      </c>
      <c r="H247" s="210">
        <f>'[1]基本 (1)'!I39</f>
        <v>21240</v>
      </c>
      <c r="I247" s="154" t="s">
        <v>1134</v>
      </c>
      <c r="J247" s="154" t="s">
        <v>1034</v>
      </c>
      <c r="K247" s="120" t="s">
        <v>1135</v>
      </c>
      <c r="L247" s="154" t="s">
        <v>1034</v>
      </c>
      <c r="M247" s="120" t="s">
        <v>1135</v>
      </c>
      <c r="N247" s="154" t="s">
        <v>1055</v>
      </c>
      <c r="O247" s="531">
        <f>ROUND(C247/100*H247*(1/3)*(1/3),0)</f>
        <v>2596</v>
      </c>
      <c r="P247" s="157" t="s">
        <v>1056</v>
      </c>
      <c r="Q247" s="155"/>
    </row>
    <row r="248" spans="2:24" ht="14.25" customHeight="1"/>
    <row r="249" spans="2:24" ht="14.25" customHeight="1">
      <c r="C249" s="157" t="s">
        <v>1136</v>
      </c>
    </row>
    <row r="250" spans="2:24" ht="14.25" customHeight="1">
      <c r="C250" s="213">
        <v>48</v>
      </c>
      <c r="D250" s="154" t="s">
        <v>1132</v>
      </c>
      <c r="E250" s="155">
        <v>100</v>
      </c>
      <c r="F250" s="154" t="s">
        <v>1133</v>
      </c>
      <c r="G250" s="154" t="s">
        <v>1034</v>
      </c>
      <c r="H250" s="210">
        <f>H247</f>
        <v>21240</v>
      </c>
      <c r="I250" s="154" t="s">
        <v>1134</v>
      </c>
      <c r="J250" s="154" t="s">
        <v>1034</v>
      </c>
      <c r="K250" s="120" t="s">
        <v>1135</v>
      </c>
      <c r="L250" s="154" t="s">
        <v>1034</v>
      </c>
      <c r="M250" s="120" t="s">
        <v>1137</v>
      </c>
      <c r="N250" s="154" t="s">
        <v>1055</v>
      </c>
      <c r="O250" s="531">
        <f>ROUND(C250/100*H250*(1/3)*(2/3),0)</f>
        <v>2266</v>
      </c>
      <c r="P250" s="157" t="s">
        <v>1056</v>
      </c>
      <c r="Q250" s="155"/>
    </row>
    <row r="251" spans="2:24" ht="14.25" customHeight="1"/>
    <row r="252" spans="2:24" ht="14.25" customHeight="1"/>
    <row r="253" spans="2:24" ht="14.25" customHeight="1">
      <c r="B253" s="143" t="s">
        <v>1138</v>
      </c>
      <c r="P253" s="222" t="s">
        <v>1139</v>
      </c>
      <c r="Q253" s="222"/>
      <c r="R253" s="532">
        <f>'[1]基本 (1)'!H14</f>
        <v>2</v>
      </c>
      <c r="S253" s="146" t="s">
        <v>1140</v>
      </c>
      <c r="V253" s="159"/>
    </row>
    <row r="254" spans="2:24" ht="14.25" customHeight="1">
      <c r="B254" s="309" t="s">
        <v>1010</v>
      </c>
      <c r="C254" s="309"/>
      <c r="D254" s="251" t="s">
        <v>930</v>
      </c>
      <c r="E254" s="309"/>
      <c r="F254" s="309"/>
      <c r="G254" s="309" t="s">
        <v>1011</v>
      </c>
      <c r="H254" s="309"/>
      <c r="I254" s="309"/>
      <c r="J254" s="353" t="s">
        <v>931</v>
      </c>
      <c r="K254" s="353" t="s">
        <v>932</v>
      </c>
      <c r="L254" s="309" t="s">
        <v>1012</v>
      </c>
      <c r="M254" s="309"/>
      <c r="N254" s="309" t="s">
        <v>1013</v>
      </c>
      <c r="O254" s="309"/>
      <c r="P254" s="309" t="s">
        <v>1014</v>
      </c>
      <c r="Q254" s="309"/>
      <c r="R254" s="309"/>
      <c r="S254" s="309"/>
      <c r="T254" s="309"/>
      <c r="U254" s="309"/>
      <c r="V254" s="309"/>
      <c r="W254" s="309"/>
      <c r="X254" s="309"/>
    </row>
    <row r="255" spans="2:24" ht="14.25" customHeight="1">
      <c r="B255" s="459" t="s">
        <v>1015</v>
      </c>
      <c r="C255" s="459"/>
      <c r="D255" s="309" t="s">
        <v>1016</v>
      </c>
      <c r="E255" s="309"/>
      <c r="F255" s="309"/>
      <c r="G255" s="444" t="s">
        <v>1017</v>
      </c>
      <c r="H255" s="533">
        <f>ROUNDUP(1*('[1]基本 (1)'!D7+1)*2,0)+1</f>
        <v>9</v>
      </c>
      <c r="I255" s="446" t="s">
        <v>1018</v>
      </c>
      <c r="J255" s="353" t="s">
        <v>1019</v>
      </c>
      <c r="K255" s="394">
        <f>H255*R255</f>
        <v>35.1</v>
      </c>
      <c r="L255" s="395">
        <f>$L$234</f>
        <v>33710</v>
      </c>
      <c r="M255" s="395"/>
      <c r="N255" s="395">
        <f>K255*L255</f>
        <v>1183221</v>
      </c>
      <c r="O255" s="395"/>
      <c r="P255" s="534" t="s">
        <v>1141</v>
      </c>
      <c r="Q255" s="224"/>
      <c r="R255" s="450">
        <f>'[1]日数 (1)'!D589</f>
        <v>3.9</v>
      </c>
      <c r="S255" s="453" t="s">
        <v>183</v>
      </c>
      <c r="T255" s="318" t="s">
        <v>1022</v>
      </c>
      <c r="U255" s="452" t="s">
        <v>1023</v>
      </c>
      <c r="V255" s="452"/>
      <c r="W255" s="453"/>
      <c r="X255" s="454"/>
    </row>
    <row r="256" spans="2:24" ht="14.25" customHeight="1">
      <c r="B256" s="455"/>
      <c r="C256" s="455"/>
      <c r="D256" s="309" t="s">
        <v>1024</v>
      </c>
      <c r="E256" s="309"/>
      <c r="F256" s="309"/>
      <c r="G256" s="444" t="s">
        <v>1017</v>
      </c>
      <c r="H256" s="533">
        <f>ROUNDUP(((Cel工事_桁架設工主桁送出し工_受け点*2)+2)*2,0)*('[1]基本 (1)'!D7+1)+((Cel工事_桁架設工主桁送出し工_受け点*2)+2)</f>
        <v>54</v>
      </c>
      <c r="I256" s="446" t="s">
        <v>1018</v>
      </c>
      <c r="J256" s="353" t="s">
        <v>1025</v>
      </c>
      <c r="K256" s="394">
        <f>H256*R255</f>
        <v>210.6</v>
      </c>
      <c r="L256" s="395">
        <f>$L$235</f>
        <v>28930</v>
      </c>
      <c r="M256" s="395"/>
      <c r="N256" s="395">
        <f>K256*L256</f>
        <v>6092658</v>
      </c>
      <c r="O256" s="395"/>
      <c r="P256" s="141" t="s">
        <v>1142</v>
      </c>
      <c r="T256" s="148"/>
      <c r="U256" s="148"/>
      <c r="V256" s="148"/>
      <c r="W256" s="148"/>
      <c r="X256" s="457"/>
    </row>
    <row r="257" spans="2:24" ht="14.25" customHeight="1">
      <c r="B257" s="455"/>
      <c r="C257" s="455"/>
      <c r="D257" s="309" t="s">
        <v>1059</v>
      </c>
      <c r="E257" s="309"/>
      <c r="F257" s="309"/>
      <c r="G257" s="309"/>
      <c r="H257" s="309"/>
      <c r="I257" s="309"/>
      <c r="J257" s="353" t="s">
        <v>1025</v>
      </c>
      <c r="K257" s="394">
        <f>T257</f>
        <v>40</v>
      </c>
      <c r="L257" s="494">
        <v>9830</v>
      </c>
      <c r="M257" s="494"/>
      <c r="N257" s="395">
        <f>K257*L257</f>
        <v>393200</v>
      </c>
      <c r="O257" s="395"/>
      <c r="P257" s="151">
        <f>Cel工事_桁架設工主桁送出し工_数量_橋梁特殊工/9</f>
        <v>23.4</v>
      </c>
      <c r="Q257" s="149" t="s">
        <v>1034</v>
      </c>
      <c r="R257" s="150">
        <v>1.7</v>
      </c>
      <c r="S257" s="149" t="s">
        <v>1055</v>
      </c>
      <c r="T257" s="186">
        <f>ROUND(P257*R257,0)</f>
        <v>40</v>
      </c>
      <c r="U257" s="146" t="s">
        <v>1060</v>
      </c>
      <c r="V257" s="148"/>
      <c r="W257" s="148"/>
      <c r="X257" s="457"/>
    </row>
    <row r="258" spans="2:24" ht="14.25" customHeight="1">
      <c r="B258" s="455"/>
      <c r="C258" s="455"/>
      <c r="D258" s="309" t="s">
        <v>1061</v>
      </c>
      <c r="E258" s="309"/>
      <c r="F258" s="309"/>
      <c r="G258" s="251" t="s">
        <v>1062</v>
      </c>
      <c r="H258" s="309"/>
      <c r="I258" s="309"/>
      <c r="J258" s="353" t="s">
        <v>1025</v>
      </c>
      <c r="K258" s="394">
        <f>T257</f>
        <v>40</v>
      </c>
      <c r="L258" s="494">
        <v>6300</v>
      </c>
      <c r="M258" s="494"/>
      <c r="N258" s="395">
        <f>K258*L258</f>
        <v>252000</v>
      </c>
      <c r="O258" s="395"/>
      <c r="P258" s="456"/>
      <c r="Q258" s="148"/>
      <c r="R258" s="148"/>
      <c r="S258" s="148"/>
      <c r="T258" s="148"/>
      <c r="U258" s="148"/>
      <c r="V258" s="148"/>
      <c r="W258" s="148"/>
      <c r="X258" s="457"/>
    </row>
    <row r="259" spans="2:24" ht="14.25" customHeight="1">
      <c r="B259" s="459" t="s">
        <v>1035</v>
      </c>
      <c r="C259" s="459"/>
      <c r="D259" s="459"/>
      <c r="E259" s="459"/>
      <c r="F259" s="459"/>
      <c r="G259" s="459"/>
      <c r="H259" s="459"/>
      <c r="I259" s="459"/>
      <c r="J259" s="461" t="s">
        <v>1036</v>
      </c>
      <c r="K259" s="526">
        <v>1</v>
      </c>
      <c r="L259" s="527"/>
      <c r="M259" s="527"/>
      <c r="N259" s="492">
        <f>(N255+N256)*(R259/100)</f>
        <v>218276.37</v>
      </c>
      <c r="O259" s="492"/>
      <c r="P259" s="150" t="s">
        <v>1037</v>
      </c>
      <c r="Q259" s="150" t="s">
        <v>32</v>
      </c>
      <c r="R259" s="150">
        <v>3</v>
      </c>
      <c r="S259" s="148" t="s">
        <v>1038</v>
      </c>
      <c r="T259" s="148"/>
      <c r="U259" s="148"/>
      <c r="V259" s="148"/>
      <c r="W259" s="148"/>
      <c r="X259" s="457"/>
    </row>
    <row r="260" spans="2:24" ht="14.25" customHeight="1">
      <c r="B260" s="431"/>
      <c r="C260" s="433"/>
      <c r="D260" s="309" t="s">
        <v>606</v>
      </c>
      <c r="E260" s="309"/>
      <c r="F260" s="309"/>
      <c r="G260" s="309"/>
      <c r="H260" s="309"/>
      <c r="I260" s="309"/>
      <c r="J260" s="353"/>
      <c r="K260" s="394">
        <f>'[1]日数 (1)'!D584</f>
        <v>168.9</v>
      </c>
      <c r="L260" s="395">
        <f>INT(Cel工事_桁架設工主桁送出し工_金額計 / Cel工事_桁架設工主桁送出し工_数量計)</f>
        <v>48190</v>
      </c>
      <c r="M260" s="396"/>
      <c r="N260" s="395">
        <f>SUM(N255:O259)</f>
        <v>8139355.3700000001</v>
      </c>
      <c r="O260" s="395"/>
      <c r="P260" s="477"/>
      <c r="Q260" s="478"/>
      <c r="R260" s="478"/>
      <c r="S260" s="478"/>
      <c r="T260" s="478"/>
      <c r="U260" s="478"/>
      <c r="V260" s="478"/>
      <c r="W260" s="478"/>
      <c r="X260" s="446"/>
    </row>
    <row r="261" spans="2:24" ht="14.25" customHeight="1">
      <c r="B261" s="150"/>
      <c r="C261" s="150"/>
      <c r="D261" s="150"/>
      <c r="E261" s="150"/>
      <c r="F261" s="150"/>
      <c r="G261" s="150"/>
      <c r="H261" s="150"/>
      <c r="I261" s="150"/>
      <c r="J261" s="150"/>
      <c r="K261" s="147"/>
      <c r="L261" s="528"/>
      <c r="M261" s="528"/>
      <c r="N261" s="529"/>
      <c r="O261" s="529"/>
      <c r="P261" s="148"/>
      <c r="Q261" s="148"/>
      <c r="R261" s="148"/>
      <c r="S261" s="148"/>
      <c r="T261" s="148"/>
      <c r="U261" s="148"/>
      <c r="V261" s="148"/>
      <c r="W261" s="148"/>
      <c r="X261" s="148"/>
    </row>
    <row r="262" spans="2:24" ht="14.25" hidden="1" customHeight="1">
      <c r="B262" s="143"/>
      <c r="C262" s="150"/>
      <c r="D262" s="150"/>
      <c r="E262" s="150"/>
      <c r="F262" s="150"/>
      <c r="G262" s="150"/>
      <c r="I262" s="300"/>
      <c r="J262" s="300"/>
      <c r="K262" s="535" t="s">
        <v>1143</v>
      </c>
      <c r="L262" s="536"/>
      <c r="M262" s="21"/>
      <c r="N262" s="261" t="s">
        <v>342</v>
      </c>
      <c r="O262" s="529"/>
      <c r="P262" s="537" t="s">
        <v>1144</v>
      </c>
      <c r="Q262" s="538"/>
      <c r="R262" s="539"/>
      <c r="S262" s="300" t="s">
        <v>1145</v>
      </c>
      <c r="T262" s="148"/>
      <c r="U262" s="148"/>
      <c r="V262" s="148"/>
      <c r="W262" s="148"/>
      <c r="X262" s="148"/>
    </row>
    <row r="263" spans="2:24" ht="14.25" hidden="1" customHeight="1">
      <c r="B263" s="540" t="s">
        <v>1146</v>
      </c>
      <c r="C263" s="541"/>
      <c r="D263" s="542" t="s">
        <v>1147</v>
      </c>
      <c r="E263" s="540" t="s">
        <v>1148</v>
      </c>
      <c r="F263" s="541"/>
      <c r="G263" s="540" t="s">
        <v>1149</v>
      </c>
      <c r="H263" s="541"/>
      <c r="I263" s="541"/>
      <c r="J263" s="541"/>
      <c r="K263" s="540" t="s">
        <v>1150</v>
      </c>
      <c r="L263" s="541"/>
      <c r="M263" s="541"/>
      <c r="N263" s="541"/>
      <c r="O263" s="529"/>
      <c r="P263" s="148"/>
      <c r="Q263" s="148"/>
      <c r="R263" s="148"/>
      <c r="S263" s="148"/>
      <c r="T263" s="148"/>
      <c r="U263" s="148"/>
      <c r="V263" s="148"/>
      <c r="W263" s="148"/>
      <c r="X263" s="148"/>
    </row>
    <row r="264" spans="2:24" ht="14.25" hidden="1" customHeight="1">
      <c r="B264" s="541"/>
      <c r="C264" s="541"/>
      <c r="D264" s="543"/>
      <c r="E264" s="541"/>
      <c r="F264" s="541"/>
      <c r="G264" s="540" t="s">
        <v>1151</v>
      </c>
      <c r="H264" s="541"/>
      <c r="I264" s="540" t="s">
        <v>1152</v>
      </c>
      <c r="J264" s="541"/>
      <c r="K264" s="540" t="s">
        <v>1151</v>
      </c>
      <c r="L264" s="541"/>
      <c r="M264" s="540" t="s">
        <v>1152</v>
      </c>
      <c r="N264" s="541"/>
      <c r="O264" s="529"/>
      <c r="P264" s="148"/>
      <c r="Q264" s="148"/>
      <c r="R264" s="148"/>
      <c r="S264" s="148"/>
      <c r="T264" s="148"/>
      <c r="U264" s="148"/>
      <c r="V264" s="148"/>
      <c r="W264" s="148"/>
      <c r="X264" s="148"/>
    </row>
    <row r="265" spans="2:24" ht="14.25" hidden="1" customHeight="1">
      <c r="B265" s="541" t="s">
        <v>1153</v>
      </c>
      <c r="C265" s="541"/>
      <c r="D265" s="544"/>
      <c r="E265" s="545">
        <f>Cel工事_桁架設工主桁送出し工_所用日数</f>
        <v>3.9</v>
      </c>
      <c r="F265" s="545"/>
      <c r="G265" s="546"/>
      <c r="H265" s="546"/>
      <c r="I265" s="546"/>
      <c r="J265" s="546"/>
      <c r="K265" s="545">
        <f>E265*G265</f>
        <v>0</v>
      </c>
      <c r="L265" s="545"/>
      <c r="M265" s="545">
        <f>E265*I265</f>
        <v>0</v>
      </c>
      <c r="N265" s="545"/>
      <c r="O265" s="529"/>
      <c r="P265" s="148"/>
      <c r="Q265" s="148"/>
      <c r="R265" s="148"/>
      <c r="S265" s="148"/>
      <c r="T265" s="148"/>
      <c r="U265" s="148"/>
      <c r="V265" s="148"/>
      <c r="W265" s="148"/>
      <c r="X265" s="148"/>
    </row>
    <row r="266" spans="2:24" ht="14.25" hidden="1" customHeight="1">
      <c r="B266" s="541"/>
      <c r="C266" s="541"/>
      <c r="D266" s="547"/>
      <c r="E266" s="541"/>
      <c r="F266" s="541"/>
      <c r="G266" s="541"/>
      <c r="H266" s="541"/>
      <c r="I266" s="541"/>
      <c r="J266" s="541"/>
      <c r="K266" s="541"/>
      <c r="L266" s="541"/>
      <c r="M266" s="541"/>
      <c r="N266" s="541"/>
      <c r="O266" s="529"/>
      <c r="P266" s="148"/>
      <c r="Q266" s="148"/>
      <c r="R266" s="148"/>
      <c r="S266" s="148"/>
      <c r="T266" s="148"/>
      <c r="U266" s="148"/>
      <c r="V266" s="148"/>
      <c r="W266" s="148"/>
      <c r="X266" s="148"/>
    </row>
    <row r="267" spans="2:24" ht="14.25" hidden="1" customHeight="1">
      <c r="B267" s="540" t="s">
        <v>1154</v>
      </c>
      <c r="C267" s="541"/>
      <c r="D267" s="548"/>
      <c r="E267" s="545" t="e">
        <f ca="1">MAX(MIN($E$265,$R$262), MIN($E$265, ROUND($E$265/$R$262 - SUM(OFFSET($D$265,0,0,ROW($D267)-ROW($D$265)+1,1))/$M$262 + 1,0)*$R$262))</f>
        <v>#DIV/0!</v>
      </c>
      <c r="F267" s="545"/>
      <c r="G267" s="546">
        <f>Cel工事_桁架設工主桁送出し工数量根拠_労務編成_橋梁世話役</f>
        <v>0</v>
      </c>
      <c r="H267" s="546"/>
      <c r="I267" s="546">
        <f>Cel工事_桁架設工主桁送出し工数量根拠_労務編成_橋梁特殊工</f>
        <v>0</v>
      </c>
      <c r="J267" s="546"/>
      <c r="K267" s="545" t="e">
        <f ca="1">E267*G267</f>
        <v>#DIV/0!</v>
      </c>
      <c r="L267" s="545"/>
      <c r="M267" s="545" t="e">
        <f ca="1">E267*I267</f>
        <v>#DIV/0!</v>
      </c>
      <c r="N267" s="545"/>
      <c r="O267" s="529"/>
      <c r="P267" s="148"/>
      <c r="Q267" s="148"/>
      <c r="R267" s="148"/>
      <c r="S267" s="148"/>
      <c r="T267" s="148"/>
      <c r="U267" s="148"/>
      <c r="V267" s="148"/>
      <c r="W267" s="148"/>
      <c r="X267" s="148"/>
    </row>
    <row r="268" spans="2:24" ht="14.25" hidden="1" customHeight="1">
      <c r="B268" s="541"/>
      <c r="C268" s="541"/>
      <c r="D268" s="547"/>
      <c r="E268" s="541"/>
      <c r="F268" s="541"/>
      <c r="G268" s="541"/>
      <c r="H268" s="541"/>
      <c r="I268" s="541"/>
      <c r="J268" s="541"/>
      <c r="K268" s="541"/>
      <c r="L268" s="541"/>
      <c r="M268" s="541"/>
      <c r="N268" s="541"/>
      <c r="O268" s="529"/>
      <c r="P268" s="148"/>
      <c r="Q268" s="148"/>
      <c r="R268" s="148"/>
      <c r="S268" s="148"/>
      <c r="T268" s="148"/>
      <c r="U268" s="148"/>
      <c r="V268" s="148"/>
      <c r="W268" s="148"/>
      <c r="X268" s="148"/>
    </row>
    <row r="269" spans="2:24" ht="14.25" hidden="1" customHeight="1">
      <c r="B269" s="540" t="s">
        <v>1155</v>
      </c>
      <c r="C269" s="541"/>
      <c r="D269" s="548"/>
      <c r="E269" s="545" t="e">
        <f ca="1">MAX(MIN($E$265,$R$262), MIN($E$265, ROUND($E$265/$R$262 - SUM(OFFSET($D$265,0,0,ROW($D269)-ROW($D$265)+1,1))/$M$262 + 1,0)*$R$262))</f>
        <v>#DIV/0!</v>
      </c>
      <c r="F269" s="545"/>
      <c r="G269" s="546">
        <f>Cel工事_桁架設工主桁送出し工数量根拠_労務編成_橋梁世話役</f>
        <v>0</v>
      </c>
      <c r="H269" s="546"/>
      <c r="I269" s="546">
        <f>Cel工事_桁架設工主桁送出し工数量根拠_労務編成_橋梁特殊工</f>
        <v>0</v>
      </c>
      <c r="J269" s="546"/>
      <c r="K269" s="545" t="e">
        <f ca="1">E269*G269</f>
        <v>#DIV/0!</v>
      </c>
      <c r="L269" s="545"/>
      <c r="M269" s="545" t="e">
        <f ca="1">E269*I269</f>
        <v>#DIV/0!</v>
      </c>
      <c r="N269" s="545"/>
      <c r="O269" s="529"/>
      <c r="P269" s="148"/>
      <c r="Q269" s="148"/>
      <c r="R269" s="148"/>
      <c r="S269" s="148"/>
      <c r="T269" s="148"/>
      <c r="U269" s="148"/>
      <c r="V269" s="148"/>
      <c r="W269" s="148"/>
      <c r="X269" s="148"/>
    </row>
    <row r="270" spans="2:24" ht="14.25" hidden="1" customHeight="1">
      <c r="B270" s="541"/>
      <c r="C270" s="541"/>
      <c r="D270" s="547"/>
      <c r="E270" s="541"/>
      <c r="F270" s="541"/>
      <c r="G270" s="541"/>
      <c r="H270" s="541"/>
      <c r="I270" s="541"/>
      <c r="J270" s="541"/>
      <c r="K270" s="541"/>
      <c r="L270" s="541"/>
      <c r="M270" s="541"/>
      <c r="N270" s="541"/>
      <c r="O270" s="529"/>
      <c r="P270" s="148"/>
      <c r="Q270" s="148"/>
      <c r="R270" s="148"/>
      <c r="S270" s="148"/>
      <c r="T270" s="148"/>
      <c r="U270" s="148"/>
      <c r="V270" s="148"/>
      <c r="W270" s="148"/>
      <c r="X270" s="148"/>
    </row>
    <row r="271" spans="2:24" ht="14.25" hidden="1" customHeight="1">
      <c r="B271" s="540" t="s">
        <v>1156</v>
      </c>
      <c r="C271" s="541"/>
      <c r="D271" s="548"/>
      <c r="E271" s="545" t="e">
        <f ca="1">MAX(MIN($E$265,$R$262), MIN($E$265, ROUND($E$265/$R$262 - SUM(OFFSET($D$265,0,0,ROW($D271)-ROW($D$265)+1,1))/$M$262 + 1,0)*$R$262))</f>
        <v>#DIV/0!</v>
      </c>
      <c r="F271" s="545"/>
      <c r="G271" s="546">
        <f>Cel工事_桁架設工主桁送出し工数量根拠_労務編成_橋梁世話役</f>
        <v>0</v>
      </c>
      <c r="H271" s="546"/>
      <c r="I271" s="546">
        <f>Cel工事_桁架設工主桁送出し工数量根拠_労務編成_橋梁特殊工</f>
        <v>0</v>
      </c>
      <c r="J271" s="546"/>
      <c r="K271" s="545" t="e">
        <f ca="1">E271*G271</f>
        <v>#DIV/0!</v>
      </c>
      <c r="L271" s="545"/>
      <c r="M271" s="545" t="e">
        <f ca="1">E271*I271</f>
        <v>#DIV/0!</v>
      </c>
      <c r="N271" s="545"/>
      <c r="O271" s="529"/>
      <c r="P271" s="148"/>
      <c r="Q271" s="148"/>
      <c r="R271" s="148"/>
      <c r="S271" s="148"/>
      <c r="T271" s="148"/>
      <c r="U271" s="148"/>
      <c r="V271" s="148"/>
      <c r="W271" s="148"/>
      <c r="X271" s="148"/>
    </row>
    <row r="272" spans="2:24" ht="14.25" hidden="1" customHeight="1">
      <c r="B272" s="541"/>
      <c r="C272" s="541"/>
      <c r="D272" s="547"/>
      <c r="E272" s="541"/>
      <c r="F272" s="541"/>
      <c r="G272" s="541"/>
      <c r="H272" s="541"/>
      <c r="I272" s="541"/>
      <c r="J272" s="541"/>
      <c r="K272" s="541"/>
      <c r="L272" s="541"/>
      <c r="M272" s="541"/>
      <c r="N272" s="541"/>
      <c r="O272" s="529"/>
      <c r="P272" s="148"/>
      <c r="Q272" s="148"/>
      <c r="R272" s="148"/>
      <c r="S272" s="148"/>
      <c r="T272" s="148"/>
      <c r="U272" s="148"/>
      <c r="V272" s="148"/>
      <c r="W272" s="148"/>
      <c r="X272" s="148"/>
    </row>
    <row r="273" spans="2:24" ht="14.25" hidden="1" customHeight="1">
      <c r="B273" s="540" t="s">
        <v>1157</v>
      </c>
      <c r="C273" s="541"/>
      <c r="D273" s="548"/>
      <c r="E273" s="545" t="e">
        <f ca="1">MAX(MIN($E$265,$R$262), MIN($E$265, ROUND($E$265/$R$262 - SUM(OFFSET($D$265,0,0,ROW($D273)-ROW($D$265)+1,1))/$M$262 + 1,0)*$R$262))</f>
        <v>#DIV/0!</v>
      </c>
      <c r="F273" s="545"/>
      <c r="G273" s="546">
        <f>Cel工事_桁架設工主桁送出し工数量根拠_労務編成_橋梁世話役</f>
        <v>0</v>
      </c>
      <c r="H273" s="546"/>
      <c r="I273" s="546">
        <f>Cel工事_桁架設工主桁送出し工数量根拠_労務編成_橋梁特殊工</f>
        <v>0</v>
      </c>
      <c r="J273" s="546"/>
      <c r="K273" s="545" t="e">
        <f ca="1">E273*G273</f>
        <v>#DIV/0!</v>
      </c>
      <c r="L273" s="545"/>
      <c r="M273" s="545" t="e">
        <f ca="1">E273*I273</f>
        <v>#DIV/0!</v>
      </c>
      <c r="N273" s="545"/>
      <c r="O273" s="529"/>
      <c r="P273" s="148"/>
      <c r="Q273" s="148"/>
      <c r="R273" s="148"/>
      <c r="S273" s="148"/>
      <c r="T273" s="148"/>
      <c r="U273" s="148"/>
      <c r="V273" s="148"/>
      <c r="W273" s="148"/>
      <c r="X273" s="148"/>
    </row>
    <row r="274" spans="2:24" ht="14.25" hidden="1" customHeight="1">
      <c r="B274" s="541"/>
      <c r="C274" s="541"/>
      <c r="D274" s="547"/>
      <c r="E274" s="541"/>
      <c r="F274" s="541"/>
      <c r="G274" s="541"/>
      <c r="H274" s="541"/>
      <c r="I274" s="541"/>
      <c r="J274" s="541"/>
      <c r="K274" s="541"/>
      <c r="L274" s="541"/>
      <c r="M274" s="541"/>
      <c r="N274" s="541"/>
      <c r="O274" s="529"/>
      <c r="P274" s="148"/>
      <c r="Q274" s="148"/>
      <c r="R274" s="148"/>
      <c r="S274" s="148"/>
      <c r="T274" s="148"/>
      <c r="U274" s="148"/>
      <c r="V274" s="148"/>
      <c r="W274" s="148"/>
      <c r="X274" s="148"/>
    </row>
    <row r="275" spans="2:24" ht="14.25" hidden="1" customHeight="1">
      <c r="B275" s="540" t="s">
        <v>1158</v>
      </c>
      <c r="C275" s="541"/>
      <c r="D275" s="548"/>
      <c r="E275" s="545" t="e">
        <f ca="1">MAX(MIN($E$265,$R$262), MIN($E$265, ROUND($E$265/$R$262 - SUM(OFFSET($D$265,0,0,ROW($D275)-ROW($D$265)+1,1))/$M$262 + 1,0)*$R$262))</f>
        <v>#DIV/0!</v>
      </c>
      <c r="F275" s="545"/>
      <c r="G275" s="546">
        <f>Cel工事_桁架設工主桁送出し工数量根拠_労務編成_橋梁世話役</f>
        <v>0</v>
      </c>
      <c r="H275" s="546"/>
      <c r="I275" s="546">
        <f>Cel工事_桁架設工主桁送出し工数量根拠_労務編成_橋梁特殊工</f>
        <v>0</v>
      </c>
      <c r="J275" s="546"/>
      <c r="K275" s="545" t="e">
        <f ca="1">E275*G275</f>
        <v>#DIV/0!</v>
      </c>
      <c r="L275" s="545"/>
      <c r="M275" s="545" t="e">
        <f ca="1">E275*I275</f>
        <v>#DIV/0!</v>
      </c>
      <c r="N275" s="545"/>
      <c r="O275" s="529"/>
      <c r="P275" s="148"/>
      <c r="Q275" s="148"/>
      <c r="R275" s="148"/>
      <c r="S275" s="148"/>
      <c r="T275" s="148"/>
      <c r="U275" s="148"/>
      <c r="V275" s="148"/>
      <c r="W275" s="148"/>
      <c r="X275" s="148"/>
    </row>
    <row r="276" spans="2:24" ht="14.25" hidden="1" customHeight="1">
      <c r="B276" s="541"/>
      <c r="C276" s="541"/>
      <c r="D276" s="547"/>
      <c r="E276" s="541"/>
      <c r="F276" s="541"/>
      <c r="G276" s="541"/>
      <c r="H276" s="541"/>
      <c r="I276" s="541"/>
      <c r="J276" s="541"/>
      <c r="K276" s="541"/>
      <c r="L276" s="541"/>
      <c r="M276" s="541"/>
      <c r="N276" s="541"/>
      <c r="O276" s="529"/>
      <c r="P276" s="148"/>
      <c r="Q276" s="148"/>
      <c r="R276" s="148"/>
      <c r="S276" s="148"/>
      <c r="T276" s="148"/>
      <c r="U276" s="148"/>
      <c r="V276" s="148"/>
      <c r="W276" s="148"/>
      <c r="X276" s="148"/>
    </row>
    <row r="277" spans="2:24" ht="14.25" hidden="1" customHeight="1">
      <c r="B277" s="540" t="s">
        <v>1159</v>
      </c>
      <c r="C277" s="541"/>
      <c r="D277" s="548"/>
      <c r="E277" s="545" t="e">
        <f ca="1">MAX(MIN($E$265,$R$262), MIN($E$265, ROUND($E$265/$R$262 - SUM(OFFSET($D$265,0,0,ROW($D277)-ROW($D$265)+1,1))/$M$262 + 1,0)*$R$262))</f>
        <v>#DIV/0!</v>
      </c>
      <c r="F277" s="545"/>
      <c r="G277" s="546">
        <f>Cel工事_桁架設工主桁送出し工数量根拠_労務編成_橋梁世話役</f>
        <v>0</v>
      </c>
      <c r="H277" s="546"/>
      <c r="I277" s="546">
        <f>Cel工事_桁架設工主桁送出し工数量根拠_労務編成_橋梁特殊工</f>
        <v>0</v>
      </c>
      <c r="J277" s="546"/>
      <c r="K277" s="545" t="e">
        <f ca="1">E277*G277</f>
        <v>#DIV/0!</v>
      </c>
      <c r="L277" s="545"/>
      <c r="M277" s="545" t="e">
        <f ca="1">E277*I277</f>
        <v>#DIV/0!</v>
      </c>
      <c r="N277" s="545"/>
      <c r="O277" s="529"/>
      <c r="P277" s="148"/>
      <c r="Q277" s="148"/>
      <c r="R277" s="148"/>
      <c r="S277" s="148"/>
      <c r="T277" s="148"/>
      <c r="U277" s="148"/>
      <c r="V277" s="148"/>
      <c r="W277" s="148"/>
      <c r="X277" s="148"/>
    </row>
    <row r="278" spans="2:24" ht="14.25" hidden="1" customHeight="1">
      <c r="B278" s="541"/>
      <c r="C278" s="541"/>
      <c r="D278" s="547"/>
      <c r="E278" s="541"/>
      <c r="F278" s="541"/>
      <c r="G278" s="541"/>
      <c r="H278" s="541"/>
      <c r="I278" s="541"/>
      <c r="J278" s="541"/>
      <c r="K278" s="541"/>
      <c r="L278" s="541"/>
      <c r="M278" s="541"/>
      <c r="N278" s="541"/>
      <c r="O278" s="529"/>
      <c r="P278" s="148"/>
      <c r="Q278" s="148"/>
      <c r="R278" s="148"/>
      <c r="S278" s="148"/>
      <c r="T278" s="148"/>
      <c r="U278" s="148"/>
      <c r="V278" s="148"/>
      <c r="W278" s="148"/>
      <c r="X278" s="148"/>
    </row>
    <row r="279" spans="2:24" ht="14.25" hidden="1" customHeight="1">
      <c r="B279" s="540" t="s">
        <v>1160</v>
      </c>
      <c r="C279" s="541"/>
      <c r="D279" s="548"/>
      <c r="E279" s="545" t="e">
        <f ca="1">MAX(MIN($E$265,$R$262), MIN($E$265, ROUND($E$265/$R$262 - SUM(OFFSET($D$265,0,0,ROW($D279)-ROW($D$265)+1,1))/$M$262 + 1,0)*$R$262))</f>
        <v>#DIV/0!</v>
      </c>
      <c r="F279" s="545"/>
      <c r="G279" s="546">
        <f>Cel工事_桁架設工主桁送出し工数量根拠_労務編成_橋梁世話役</f>
        <v>0</v>
      </c>
      <c r="H279" s="546"/>
      <c r="I279" s="546">
        <f>Cel工事_桁架設工主桁送出し工数量根拠_労務編成_橋梁特殊工</f>
        <v>0</v>
      </c>
      <c r="J279" s="546"/>
      <c r="K279" s="545" t="e">
        <f ca="1">E279*G279</f>
        <v>#DIV/0!</v>
      </c>
      <c r="L279" s="545"/>
      <c r="M279" s="545" t="e">
        <f ca="1">E279*I279</f>
        <v>#DIV/0!</v>
      </c>
      <c r="N279" s="545"/>
      <c r="O279" s="529"/>
      <c r="P279" s="148"/>
      <c r="Q279" s="148"/>
      <c r="R279" s="148"/>
      <c r="S279" s="148"/>
      <c r="T279" s="148"/>
      <c r="U279" s="148"/>
      <c r="V279" s="148"/>
      <c r="W279" s="148"/>
      <c r="X279" s="148"/>
    </row>
    <row r="280" spans="2:24" ht="14.25" hidden="1" customHeight="1">
      <c r="B280" s="541"/>
      <c r="C280" s="541"/>
      <c r="D280" s="547"/>
      <c r="E280" s="541"/>
      <c r="F280" s="541"/>
      <c r="G280" s="541"/>
      <c r="H280" s="541"/>
      <c r="I280" s="541"/>
      <c r="J280" s="541"/>
      <c r="K280" s="541"/>
      <c r="L280" s="541"/>
      <c r="M280" s="541"/>
      <c r="N280" s="541"/>
      <c r="O280" s="529"/>
      <c r="P280" s="148"/>
      <c r="Q280" s="148"/>
      <c r="R280" s="148"/>
      <c r="S280" s="148"/>
      <c r="T280" s="148"/>
      <c r="U280" s="148"/>
      <c r="V280" s="148"/>
      <c r="W280" s="148"/>
      <c r="X280" s="148"/>
    </row>
    <row r="281" spans="2:24" ht="14.25" hidden="1" customHeight="1">
      <c r="B281" s="540" t="s">
        <v>1161</v>
      </c>
      <c r="C281" s="541"/>
      <c r="D281" s="548"/>
      <c r="E281" s="545" t="e">
        <f ca="1">MAX(MIN($E$265,$R$262), MIN($E$265, ROUND($E$265/$R$262 - SUM(OFFSET($D$265,0,0,ROW($D281)-ROW($D$265)+1,1))/$M$262 + 1,0)*$R$262))</f>
        <v>#DIV/0!</v>
      </c>
      <c r="F281" s="545"/>
      <c r="G281" s="546">
        <f>Cel工事_桁架設工主桁送出し工数量根拠_労務編成_橋梁世話役</f>
        <v>0</v>
      </c>
      <c r="H281" s="546"/>
      <c r="I281" s="546">
        <f>Cel工事_桁架設工主桁送出し工数量根拠_労務編成_橋梁特殊工</f>
        <v>0</v>
      </c>
      <c r="J281" s="546"/>
      <c r="K281" s="545" t="e">
        <f ca="1">E281*G281</f>
        <v>#DIV/0!</v>
      </c>
      <c r="L281" s="545"/>
      <c r="M281" s="545" t="e">
        <f ca="1">E281*I281</f>
        <v>#DIV/0!</v>
      </c>
      <c r="N281" s="545"/>
      <c r="O281" s="529"/>
      <c r="P281" s="148"/>
      <c r="Q281" s="148"/>
      <c r="R281" s="148"/>
      <c r="S281" s="148"/>
      <c r="T281" s="148"/>
      <c r="U281" s="148"/>
      <c r="V281" s="148"/>
      <c r="W281" s="148"/>
      <c r="X281" s="148"/>
    </row>
    <row r="282" spans="2:24" ht="14.25" hidden="1" customHeight="1">
      <c r="B282" s="541"/>
      <c r="C282" s="541"/>
      <c r="D282" s="547"/>
      <c r="E282" s="541"/>
      <c r="F282" s="541"/>
      <c r="G282" s="541"/>
      <c r="H282" s="541"/>
      <c r="I282" s="541"/>
      <c r="J282" s="541"/>
      <c r="K282" s="541"/>
      <c r="L282" s="541"/>
      <c r="M282" s="541"/>
      <c r="N282" s="541"/>
      <c r="O282" s="529"/>
      <c r="P282" s="148"/>
      <c r="Q282" s="148"/>
      <c r="R282" s="148"/>
      <c r="S282" s="148"/>
      <c r="T282" s="148"/>
      <c r="U282" s="148"/>
      <c r="V282" s="148"/>
      <c r="W282" s="148"/>
      <c r="X282" s="148"/>
    </row>
    <row r="283" spans="2:24" ht="14.25" hidden="1" customHeight="1">
      <c r="B283" s="540" t="s">
        <v>1162</v>
      </c>
      <c r="C283" s="541"/>
      <c r="D283" s="548"/>
      <c r="E283" s="545" t="e">
        <f ca="1">MAX(MIN($E$265,$R$262), MIN($E$265, ROUND($E$265/$R$262 - SUM(OFFSET($D$265,0,0,ROW($D283)-ROW($D$265)+1,1))/$M$262 + 1,0)*$R$262))</f>
        <v>#DIV/0!</v>
      </c>
      <c r="F283" s="545"/>
      <c r="G283" s="546">
        <f>Cel工事_桁架設工主桁送出し工数量根拠_労務編成_橋梁世話役</f>
        <v>0</v>
      </c>
      <c r="H283" s="546"/>
      <c r="I283" s="546">
        <f>Cel工事_桁架設工主桁送出し工数量根拠_労務編成_橋梁特殊工</f>
        <v>0</v>
      </c>
      <c r="J283" s="546"/>
      <c r="K283" s="545" t="e">
        <f ca="1">E283*G283</f>
        <v>#DIV/0!</v>
      </c>
      <c r="L283" s="545"/>
      <c r="M283" s="545" t="e">
        <f ca="1">E283*I283</f>
        <v>#DIV/0!</v>
      </c>
      <c r="N283" s="545"/>
      <c r="O283" s="529"/>
      <c r="P283" s="148"/>
      <c r="Q283" s="148"/>
      <c r="R283" s="148"/>
      <c r="S283" s="148"/>
      <c r="T283" s="148"/>
      <c r="U283" s="148"/>
      <c r="V283" s="148"/>
      <c r="W283" s="148"/>
      <c r="X283" s="148"/>
    </row>
    <row r="284" spans="2:24" ht="14.25" hidden="1" customHeight="1">
      <c r="B284" s="541"/>
      <c r="C284" s="541"/>
      <c r="D284" s="547"/>
      <c r="E284" s="541"/>
      <c r="F284" s="541"/>
      <c r="G284" s="541"/>
      <c r="H284" s="541"/>
      <c r="I284" s="541"/>
      <c r="J284" s="541"/>
      <c r="K284" s="541"/>
      <c r="L284" s="541"/>
      <c r="M284" s="541"/>
      <c r="N284" s="541"/>
      <c r="O284" s="529"/>
      <c r="P284" s="148"/>
      <c r="Q284" s="148"/>
      <c r="R284" s="148"/>
      <c r="S284" s="148"/>
      <c r="T284" s="148"/>
      <c r="U284" s="148"/>
      <c r="V284" s="148"/>
      <c r="W284" s="148"/>
      <c r="X284" s="148"/>
    </row>
    <row r="285" spans="2:24" ht="14.25" hidden="1" customHeight="1">
      <c r="B285" s="540" t="s">
        <v>1163</v>
      </c>
      <c r="C285" s="541"/>
      <c r="D285" s="548"/>
      <c r="E285" s="545" t="e">
        <f ca="1">MAX(MIN($E$265,$R$262), MIN($E$265, ROUND($E$265/$R$262 - SUM(OFFSET($D$265,0,0,ROW($D285)-ROW($D$265)+1,1))/$M$262 + 1,0)*$R$262))</f>
        <v>#DIV/0!</v>
      </c>
      <c r="F285" s="545"/>
      <c r="G285" s="546">
        <f>Cel工事_桁架設工主桁送出し工数量根拠_労務編成_橋梁世話役</f>
        <v>0</v>
      </c>
      <c r="H285" s="546"/>
      <c r="I285" s="546">
        <f>Cel工事_桁架設工主桁送出し工数量根拠_労務編成_橋梁特殊工</f>
        <v>0</v>
      </c>
      <c r="J285" s="546"/>
      <c r="K285" s="545" t="e">
        <f ca="1">E285*G285</f>
        <v>#DIV/0!</v>
      </c>
      <c r="L285" s="545"/>
      <c r="M285" s="545" t="e">
        <f ca="1">E285*I285</f>
        <v>#DIV/0!</v>
      </c>
      <c r="N285" s="545"/>
      <c r="O285" s="529"/>
      <c r="P285" s="148"/>
      <c r="Q285" s="148"/>
      <c r="R285" s="148"/>
      <c r="S285" s="148"/>
      <c r="T285" s="148"/>
      <c r="U285" s="148"/>
      <c r="V285" s="148"/>
      <c r="W285" s="148"/>
      <c r="X285" s="148"/>
    </row>
    <row r="286" spans="2:24" ht="14.25" hidden="1" customHeight="1">
      <c r="B286" s="540"/>
      <c r="C286" s="541"/>
      <c r="D286" s="548"/>
      <c r="E286" s="541"/>
      <c r="F286" s="541"/>
      <c r="G286" s="541"/>
      <c r="H286" s="541"/>
      <c r="I286" s="540" t="s">
        <v>1164</v>
      </c>
      <c r="J286" s="541"/>
      <c r="K286" s="545" t="e">
        <f ca="1">SUM(K265:L285)</f>
        <v>#DIV/0!</v>
      </c>
      <c r="L286" s="545"/>
      <c r="M286" s="545" t="e">
        <f ca="1">SUM(M265:N285)</f>
        <v>#DIV/0!</v>
      </c>
      <c r="N286" s="545"/>
      <c r="O286" s="529"/>
      <c r="P286" s="148"/>
      <c r="Q286" s="148"/>
      <c r="R286" s="148"/>
      <c r="S286" s="148"/>
      <c r="T286" s="148"/>
      <c r="U286" s="148"/>
      <c r="V286" s="148"/>
      <c r="W286" s="148"/>
      <c r="X286" s="148"/>
    </row>
    <row r="287" spans="2:24" ht="14.25" hidden="1" customHeight="1">
      <c r="B287" s="541"/>
      <c r="C287" s="541"/>
      <c r="D287" s="548"/>
      <c r="E287" s="541"/>
      <c r="F287" s="541"/>
      <c r="G287" s="541"/>
      <c r="H287" s="541"/>
      <c r="I287" s="541"/>
      <c r="J287" s="541"/>
      <c r="K287" s="541"/>
      <c r="L287" s="541"/>
      <c r="M287" s="541"/>
      <c r="N287" s="541"/>
      <c r="O287" s="529"/>
      <c r="P287" s="148"/>
      <c r="Q287" s="148"/>
      <c r="R287" s="148"/>
      <c r="S287" s="148"/>
      <c r="T287" s="148"/>
      <c r="U287" s="148"/>
      <c r="V287" s="148"/>
      <c r="W287" s="148"/>
      <c r="X287" s="148"/>
    </row>
    <row r="288" spans="2:24" ht="14.25" hidden="1" customHeight="1">
      <c r="B288" s="540" t="s">
        <v>1165</v>
      </c>
      <c r="C288" s="541"/>
      <c r="D288" s="548"/>
      <c r="E288" s="545">
        <f>Cel工事_桁架設工主桁送出し工_所用日数</f>
        <v>3.9</v>
      </c>
      <c r="F288" s="545"/>
      <c r="G288" s="546"/>
      <c r="H288" s="546"/>
      <c r="I288" s="546"/>
      <c r="J288" s="546"/>
      <c r="K288" s="545">
        <f>E288*G288</f>
        <v>0</v>
      </c>
      <c r="L288" s="545"/>
      <c r="M288" s="545">
        <f>E288*I288</f>
        <v>0</v>
      </c>
      <c r="N288" s="545"/>
      <c r="O288" s="529"/>
      <c r="P288" s="148"/>
      <c r="Q288" s="148"/>
      <c r="R288" s="148"/>
      <c r="S288" s="148"/>
      <c r="T288" s="148"/>
      <c r="U288" s="148"/>
      <c r="V288" s="148"/>
      <c r="W288" s="148"/>
      <c r="X288" s="148"/>
    </row>
    <row r="289" spans="2:24" ht="14.25" hidden="1" customHeight="1">
      <c r="B289" s="540" t="s">
        <v>866</v>
      </c>
      <c r="C289" s="541"/>
      <c r="D289" s="548"/>
      <c r="E289" s="545">
        <f>Cel工事_桁架設工主桁送出し工_所用日数</f>
        <v>3.9</v>
      </c>
      <c r="F289" s="545"/>
      <c r="G289" s="541"/>
      <c r="H289" s="541"/>
      <c r="I289" s="546"/>
      <c r="J289" s="546"/>
      <c r="K289" s="541"/>
      <c r="L289" s="541"/>
      <c r="M289" s="545">
        <f>E289*I289</f>
        <v>0</v>
      </c>
      <c r="N289" s="545"/>
      <c r="O289" s="529"/>
      <c r="P289" s="148"/>
      <c r="Q289" s="148"/>
      <c r="R289" s="148"/>
      <c r="S289" s="148"/>
      <c r="T289" s="148"/>
      <c r="U289" s="148"/>
      <c r="V289" s="148"/>
      <c r="W289" s="148"/>
      <c r="X289" s="148"/>
    </row>
    <row r="290" spans="2:24" ht="14.25" hidden="1" customHeight="1">
      <c r="B290" s="540" t="s">
        <v>1166</v>
      </c>
      <c r="C290" s="541"/>
      <c r="D290" s="548"/>
      <c r="E290" s="545">
        <f>Cel工事_桁架設工主桁送出し工_所用日数</f>
        <v>3.9</v>
      </c>
      <c r="F290" s="545"/>
      <c r="G290" s="541"/>
      <c r="H290" s="541"/>
      <c r="I290" s="546"/>
      <c r="J290" s="546"/>
      <c r="K290" s="541"/>
      <c r="L290" s="541"/>
      <c r="M290" s="545">
        <f>E290*I290</f>
        <v>0</v>
      </c>
      <c r="N290" s="545"/>
      <c r="O290" s="529"/>
      <c r="P290" s="148"/>
      <c r="Q290" s="148"/>
      <c r="R290" s="148"/>
      <c r="S290" s="148"/>
      <c r="T290" s="148"/>
      <c r="U290" s="148"/>
      <c r="V290" s="148"/>
      <c r="W290" s="148"/>
      <c r="X290" s="148"/>
    </row>
    <row r="291" spans="2:24" ht="14.25" hidden="1" customHeight="1">
      <c r="B291" s="540"/>
      <c r="C291" s="541"/>
      <c r="D291" s="548"/>
      <c r="E291" s="541"/>
      <c r="F291" s="541"/>
      <c r="G291" s="541"/>
      <c r="H291" s="541"/>
      <c r="I291" s="540" t="s">
        <v>1167</v>
      </c>
      <c r="J291" s="541"/>
      <c r="K291" s="545" t="e">
        <f ca="1">K286+SUM(K288:L290)</f>
        <v>#DIV/0!</v>
      </c>
      <c r="L291" s="545"/>
      <c r="M291" s="545" t="e">
        <f ca="1">M286+SUM(M288:N290)</f>
        <v>#DIV/0!</v>
      </c>
      <c r="N291" s="545"/>
      <c r="O291" s="529"/>
      <c r="P291" s="148"/>
      <c r="Q291" s="148"/>
      <c r="R291" s="148"/>
      <c r="S291" s="148"/>
      <c r="T291" s="148"/>
      <c r="U291" s="148"/>
      <c r="V291" s="148"/>
      <c r="W291" s="148"/>
      <c r="X291" s="148"/>
    </row>
    <row r="292" spans="2:24" ht="14.25" customHeight="1">
      <c r="B292" s="150"/>
      <c r="C292" s="150"/>
      <c r="D292" s="150"/>
      <c r="E292" s="150"/>
      <c r="F292" s="150"/>
      <c r="G292" s="150"/>
      <c r="H292" s="150"/>
      <c r="I292" s="150"/>
      <c r="J292" s="150"/>
      <c r="K292" s="147"/>
      <c r="L292" s="528"/>
      <c r="M292" s="528"/>
      <c r="N292" s="529"/>
      <c r="O292" s="529"/>
      <c r="T292" s="148"/>
      <c r="U292" s="148"/>
      <c r="V292" s="148"/>
      <c r="W292" s="148"/>
      <c r="X292" s="148"/>
    </row>
    <row r="293" spans="2:24" ht="14.25" customHeight="1">
      <c r="B293" s="150"/>
      <c r="C293" s="150"/>
      <c r="D293" s="150"/>
      <c r="E293" s="150"/>
      <c r="F293" s="150"/>
      <c r="G293" s="150"/>
      <c r="H293" s="150"/>
      <c r="I293" s="150"/>
      <c r="J293" s="150"/>
      <c r="K293" s="147"/>
      <c r="L293" s="528"/>
      <c r="M293" s="528"/>
      <c r="N293" s="529"/>
      <c r="O293" s="529"/>
      <c r="P293" s="148"/>
      <c r="Q293" s="148"/>
      <c r="R293" s="148"/>
      <c r="S293" s="148"/>
      <c r="T293" s="148"/>
      <c r="U293" s="148"/>
      <c r="V293" s="148"/>
      <c r="W293" s="148"/>
      <c r="X293" s="148"/>
    </row>
    <row r="294" spans="2:24" ht="14.25" customHeight="1">
      <c r="B294" s="143" t="s">
        <v>1168</v>
      </c>
      <c r="P294" s="222" t="s">
        <v>1139</v>
      </c>
      <c r="Q294" s="222"/>
      <c r="R294" s="532">
        <f>'[1]基本 (1)'!H14</f>
        <v>2</v>
      </c>
      <c r="S294" s="146" t="s">
        <v>1140</v>
      </c>
      <c r="V294" s="159"/>
    </row>
    <row r="295" spans="2:24" ht="14.25" customHeight="1">
      <c r="B295" s="309" t="s">
        <v>1010</v>
      </c>
      <c r="C295" s="309"/>
      <c r="D295" s="251" t="s">
        <v>930</v>
      </c>
      <c r="E295" s="309"/>
      <c r="F295" s="309"/>
      <c r="G295" s="309" t="s">
        <v>1011</v>
      </c>
      <c r="H295" s="309"/>
      <c r="I295" s="309"/>
      <c r="J295" s="353" t="s">
        <v>931</v>
      </c>
      <c r="K295" s="353" t="s">
        <v>932</v>
      </c>
      <c r="L295" s="309" t="s">
        <v>1012</v>
      </c>
      <c r="M295" s="309"/>
      <c r="N295" s="309" t="s">
        <v>1013</v>
      </c>
      <c r="O295" s="309"/>
      <c r="P295" s="309" t="s">
        <v>1014</v>
      </c>
      <c r="Q295" s="309"/>
      <c r="R295" s="309"/>
      <c r="S295" s="309"/>
      <c r="T295" s="309"/>
      <c r="U295" s="309"/>
      <c r="V295" s="309"/>
      <c r="W295" s="309"/>
      <c r="X295" s="309"/>
    </row>
    <row r="296" spans="2:24" ht="14.25" customHeight="1">
      <c r="B296" s="459" t="s">
        <v>1015</v>
      </c>
      <c r="C296" s="459"/>
      <c r="D296" s="309" t="s">
        <v>1016</v>
      </c>
      <c r="E296" s="309"/>
      <c r="F296" s="309"/>
      <c r="G296" s="444" t="s">
        <v>1017</v>
      </c>
      <c r="H296" s="533">
        <f>IF('[1]基本 (1)'!D7+1&gt;=3,3,'[1]基本 (1)'!D7+1)</f>
        <v>3</v>
      </c>
      <c r="I296" s="446" t="s">
        <v>1018</v>
      </c>
      <c r="J296" s="353" t="s">
        <v>1019</v>
      </c>
      <c r="K296" s="394">
        <f>H296*R296</f>
        <v>3.9000000000000004</v>
      </c>
      <c r="L296" s="395">
        <f>$L$234</f>
        <v>33710</v>
      </c>
      <c r="M296" s="395"/>
      <c r="N296" s="395">
        <f>K296*L296</f>
        <v>131469</v>
      </c>
      <c r="O296" s="395"/>
      <c r="P296" s="224" t="s">
        <v>1053</v>
      </c>
      <c r="Q296" s="224"/>
      <c r="R296" s="450">
        <f>'[1]日数 (1)'!D606</f>
        <v>1.3</v>
      </c>
      <c r="S296" s="453" t="s">
        <v>183</v>
      </c>
      <c r="T296" s="318" t="s">
        <v>1022</v>
      </c>
      <c r="U296" s="452" t="s">
        <v>1169</v>
      </c>
      <c r="V296" s="452"/>
      <c r="W296" s="453"/>
      <c r="X296" s="454"/>
    </row>
    <row r="297" spans="2:24" ht="14.25" customHeight="1">
      <c r="B297" s="455"/>
      <c r="C297" s="455"/>
      <c r="D297" s="309" t="s">
        <v>1024</v>
      </c>
      <c r="E297" s="309"/>
      <c r="F297" s="309"/>
      <c r="G297" s="444" t="s">
        <v>1017</v>
      </c>
      <c r="H297" s="533">
        <f>(3*Cel工事_桁架設工主桁降下工_受け点)*(IF('[1]基本 (1)'!D7+1&gt;=3,3,'[1]基本 (1)'!D7+1))</f>
        <v>18</v>
      </c>
      <c r="I297" s="446" t="s">
        <v>1018</v>
      </c>
      <c r="J297" s="353" t="s">
        <v>1025</v>
      </c>
      <c r="K297" s="394">
        <f>H297*R296</f>
        <v>23.400000000000002</v>
      </c>
      <c r="L297" s="395">
        <f>$L$235</f>
        <v>28930</v>
      </c>
      <c r="M297" s="395"/>
      <c r="N297" s="395">
        <f>K297*L297</f>
        <v>676962.00000000012</v>
      </c>
      <c r="O297" s="395"/>
      <c r="T297" s="148"/>
      <c r="U297" s="148"/>
      <c r="V297" s="148"/>
      <c r="W297" s="148"/>
      <c r="X297" s="457"/>
    </row>
    <row r="298" spans="2:24" ht="14.25" customHeight="1">
      <c r="B298" s="455"/>
      <c r="C298" s="455"/>
      <c r="D298" s="309" t="s">
        <v>1059</v>
      </c>
      <c r="E298" s="309"/>
      <c r="F298" s="309"/>
      <c r="G298" s="309"/>
      <c r="H298" s="309"/>
      <c r="I298" s="309"/>
      <c r="J298" s="353" t="s">
        <v>1025</v>
      </c>
      <c r="K298" s="394">
        <f>T298</f>
        <v>2</v>
      </c>
      <c r="L298" s="494">
        <v>9830</v>
      </c>
      <c r="M298" s="494"/>
      <c r="N298" s="395">
        <f>K298*L298</f>
        <v>19660</v>
      </c>
      <c r="O298" s="395"/>
      <c r="P298" s="151">
        <f>R296</f>
        <v>1.3</v>
      </c>
      <c r="Q298" s="149" t="s">
        <v>1034</v>
      </c>
      <c r="R298" s="150">
        <v>1.7</v>
      </c>
      <c r="S298" s="149" t="s">
        <v>1055</v>
      </c>
      <c r="T298" s="186">
        <f>ROUND(P298*R298,0)</f>
        <v>2</v>
      </c>
      <c r="U298" s="146" t="s">
        <v>1060</v>
      </c>
      <c r="V298" s="148"/>
      <c r="W298" s="148"/>
      <c r="X298" s="457"/>
    </row>
    <row r="299" spans="2:24" ht="14.25" customHeight="1">
      <c r="B299" s="455"/>
      <c r="C299" s="455"/>
      <c r="D299" s="309" t="s">
        <v>1061</v>
      </c>
      <c r="E299" s="309"/>
      <c r="F299" s="309"/>
      <c r="G299" s="251" t="s">
        <v>1067</v>
      </c>
      <c r="H299" s="309"/>
      <c r="I299" s="309"/>
      <c r="J299" s="353" t="s">
        <v>1025</v>
      </c>
      <c r="K299" s="394">
        <f>T298</f>
        <v>2</v>
      </c>
      <c r="L299" s="494">
        <v>6300</v>
      </c>
      <c r="M299" s="494"/>
      <c r="N299" s="395">
        <f>K299*L299</f>
        <v>12600</v>
      </c>
      <c r="O299" s="395"/>
      <c r="P299" s="456"/>
      <c r="Q299" s="148"/>
      <c r="R299" s="148"/>
      <c r="S299" s="148"/>
      <c r="T299" s="148"/>
      <c r="U299" s="148"/>
      <c r="V299" s="148"/>
      <c r="W299" s="148"/>
      <c r="X299" s="457"/>
    </row>
    <row r="300" spans="2:24" ht="14.25" customHeight="1">
      <c r="B300" s="459" t="s">
        <v>1035</v>
      </c>
      <c r="C300" s="459"/>
      <c r="D300" s="459"/>
      <c r="E300" s="459"/>
      <c r="F300" s="459"/>
      <c r="G300" s="459"/>
      <c r="H300" s="459"/>
      <c r="I300" s="459"/>
      <c r="J300" s="461" t="s">
        <v>1036</v>
      </c>
      <c r="K300" s="526">
        <v>1</v>
      </c>
      <c r="L300" s="527"/>
      <c r="M300" s="527"/>
      <c r="N300" s="492">
        <f>(N296+N297)*(R300/100)</f>
        <v>32337.240000000005</v>
      </c>
      <c r="O300" s="492"/>
      <c r="P300" s="150" t="s">
        <v>1015</v>
      </c>
      <c r="Q300" s="150" t="s">
        <v>32</v>
      </c>
      <c r="R300" s="150">
        <v>4</v>
      </c>
      <c r="S300" s="148" t="s">
        <v>1038</v>
      </c>
      <c r="T300" s="148"/>
      <c r="U300" s="148"/>
      <c r="V300" s="148"/>
      <c r="W300" s="148"/>
      <c r="X300" s="457"/>
    </row>
    <row r="301" spans="2:24" ht="14.25" customHeight="1">
      <c r="B301" s="431"/>
      <c r="C301" s="433"/>
      <c r="D301" s="309" t="s">
        <v>606</v>
      </c>
      <c r="E301" s="309"/>
      <c r="F301" s="309"/>
      <c r="G301" s="309"/>
      <c r="H301" s="309"/>
      <c r="I301" s="309"/>
      <c r="J301" s="353"/>
      <c r="K301" s="394">
        <f>'[1]日数 (1)'!D601</f>
        <v>1</v>
      </c>
      <c r="L301" s="395">
        <f>INT(Cel工事_桁架設工主桁降下工_金額計 / Cel工事_桁架設工主桁降下工_数量計)</f>
        <v>873028</v>
      </c>
      <c r="M301" s="396"/>
      <c r="N301" s="395">
        <f>SUM(N296:O300)</f>
        <v>873028.24000000011</v>
      </c>
      <c r="O301" s="395"/>
      <c r="P301" s="477"/>
      <c r="Q301" s="478"/>
      <c r="R301" s="478"/>
      <c r="S301" s="478"/>
      <c r="T301" s="478"/>
      <c r="U301" s="478"/>
      <c r="V301" s="478"/>
      <c r="W301" s="478"/>
      <c r="X301" s="446"/>
    </row>
    <row r="302" spans="2:24" ht="14.25" customHeight="1">
      <c r="B302" s="150"/>
      <c r="C302" s="150"/>
      <c r="D302" s="150"/>
      <c r="E302" s="150"/>
      <c r="F302" s="150"/>
      <c r="G302" s="150"/>
      <c r="H302" s="150"/>
      <c r="I302" s="150"/>
      <c r="J302" s="150"/>
      <c r="K302" s="147"/>
      <c r="L302" s="528"/>
      <c r="M302" s="528"/>
      <c r="N302" s="529"/>
      <c r="O302" s="529"/>
      <c r="P302" s="148"/>
      <c r="Q302" s="148"/>
      <c r="R302" s="148"/>
      <c r="S302" s="148"/>
      <c r="T302" s="148"/>
      <c r="U302" s="148"/>
      <c r="V302" s="148"/>
      <c r="W302" s="148"/>
      <c r="X302" s="148"/>
    </row>
    <row r="303" spans="2:24" ht="14.25" customHeight="1">
      <c r="B303" s="150"/>
      <c r="C303" s="150"/>
      <c r="D303" s="150"/>
      <c r="E303" s="150"/>
      <c r="F303" s="150"/>
      <c r="G303" s="150"/>
      <c r="H303" s="150"/>
      <c r="I303" s="150"/>
      <c r="J303" s="150"/>
      <c r="K303" s="147"/>
      <c r="L303" s="528"/>
      <c r="M303" s="528"/>
      <c r="N303" s="529"/>
      <c r="O303" s="529"/>
      <c r="P303" s="148"/>
      <c r="Q303" s="148"/>
      <c r="R303" s="148"/>
      <c r="S303" s="148"/>
      <c r="T303" s="148"/>
      <c r="U303" s="148"/>
      <c r="V303" s="148"/>
      <c r="W303" s="148"/>
      <c r="X303" s="148"/>
    </row>
    <row r="304" spans="2:24" ht="14.25" hidden="1" customHeight="1">
      <c r="B304" s="143"/>
      <c r="P304" s="222" t="s">
        <v>1139</v>
      </c>
      <c r="Q304" s="222"/>
      <c r="R304" s="532"/>
      <c r="S304" s="146" t="s">
        <v>1140</v>
      </c>
      <c r="V304" s="159"/>
    </row>
    <row r="305" spans="2:24" ht="14.25" hidden="1" customHeight="1">
      <c r="B305" s="309" t="s">
        <v>1010</v>
      </c>
      <c r="C305" s="309"/>
      <c r="D305" s="251" t="s">
        <v>930</v>
      </c>
      <c r="E305" s="309"/>
      <c r="F305" s="309"/>
      <c r="G305" s="309" t="s">
        <v>1011</v>
      </c>
      <c r="H305" s="309"/>
      <c r="I305" s="309"/>
      <c r="J305" s="353" t="s">
        <v>931</v>
      </c>
      <c r="K305" s="353" t="s">
        <v>932</v>
      </c>
      <c r="L305" s="309" t="s">
        <v>1012</v>
      </c>
      <c r="M305" s="309"/>
      <c r="N305" s="309" t="s">
        <v>1013</v>
      </c>
      <c r="O305" s="309"/>
      <c r="P305" s="309" t="s">
        <v>1014</v>
      </c>
      <c r="Q305" s="309"/>
      <c r="R305" s="309"/>
      <c r="S305" s="309"/>
      <c r="T305" s="309"/>
      <c r="U305" s="309"/>
      <c r="V305" s="309"/>
      <c r="W305" s="309"/>
      <c r="X305" s="309"/>
    </row>
    <row r="306" spans="2:24" ht="14.25" hidden="1" customHeight="1">
      <c r="B306" s="459" t="s">
        <v>1015</v>
      </c>
      <c r="C306" s="459"/>
      <c r="D306" s="309" t="s">
        <v>1016</v>
      </c>
      <c r="E306" s="309"/>
      <c r="F306" s="309"/>
      <c r="G306" s="444" t="s">
        <v>1017</v>
      </c>
      <c r="H306" s="533"/>
      <c r="I306" s="446" t="s">
        <v>1018</v>
      </c>
      <c r="J306" s="353" t="s">
        <v>1019</v>
      </c>
      <c r="K306" s="394">
        <f>H306*R306</f>
        <v>0</v>
      </c>
      <c r="L306" s="395">
        <f>$L$234</f>
        <v>33710</v>
      </c>
      <c r="M306" s="395"/>
      <c r="N306" s="395">
        <f>K306*L306</f>
        <v>0</v>
      </c>
      <c r="O306" s="395"/>
      <c r="P306" s="224" t="s">
        <v>1053</v>
      </c>
      <c r="Q306" s="224"/>
      <c r="R306" s="450"/>
      <c r="S306" s="453" t="s">
        <v>183</v>
      </c>
      <c r="T306" s="318"/>
      <c r="U306" s="452" t="s">
        <v>1023</v>
      </c>
      <c r="V306" s="452"/>
      <c r="W306" s="453"/>
      <c r="X306" s="454"/>
    </row>
    <row r="307" spans="2:24" ht="14.25" hidden="1" customHeight="1">
      <c r="B307" s="455"/>
      <c r="C307" s="455"/>
      <c r="D307" s="309" t="s">
        <v>1024</v>
      </c>
      <c r="E307" s="309"/>
      <c r="F307" s="309"/>
      <c r="G307" s="444" t="s">
        <v>1017</v>
      </c>
      <c r="H307" s="533"/>
      <c r="I307" s="446" t="s">
        <v>1018</v>
      </c>
      <c r="J307" s="353" t="s">
        <v>1025</v>
      </c>
      <c r="K307" s="394">
        <f>H307*R306</f>
        <v>0</v>
      </c>
      <c r="L307" s="395">
        <f>$L$235</f>
        <v>28930</v>
      </c>
      <c r="M307" s="395"/>
      <c r="N307" s="395">
        <f>K307*L307</f>
        <v>0</v>
      </c>
      <c r="O307" s="395"/>
      <c r="P307" s="456"/>
      <c r="Q307" s="148"/>
      <c r="R307" s="148"/>
      <c r="S307" s="148"/>
      <c r="T307" s="148"/>
      <c r="U307" s="148"/>
      <c r="V307" s="148"/>
      <c r="W307" s="148"/>
      <c r="X307" s="457"/>
    </row>
    <row r="308" spans="2:24" ht="14.25" hidden="1" customHeight="1">
      <c r="B308" s="455"/>
      <c r="C308" s="455"/>
      <c r="D308" s="309" t="s">
        <v>1059</v>
      </c>
      <c r="E308" s="309"/>
      <c r="F308" s="309"/>
      <c r="G308" s="309"/>
      <c r="H308" s="309"/>
      <c r="I308" s="309"/>
      <c r="J308" s="353" t="s">
        <v>1025</v>
      </c>
      <c r="K308" s="394">
        <f>T308</f>
        <v>0</v>
      </c>
      <c r="L308" s="494">
        <v>9830</v>
      </c>
      <c r="M308" s="494"/>
      <c r="N308" s="395">
        <f>K308*L308</f>
        <v>0</v>
      </c>
      <c r="O308" s="395"/>
      <c r="P308" s="151">
        <f>R306</f>
        <v>0</v>
      </c>
      <c r="Q308" s="149" t="s">
        <v>1034</v>
      </c>
      <c r="R308" s="150">
        <v>1.7</v>
      </c>
      <c r="S308" s="149" t="s">
        <v>1055</v>
      </c>
      <c r="T308" s="186">
        <f>ROUND(P308*R308,0)</f>
        <v>0</v>
      </c>
      <c r="U308" s="146" t="s">
        <v>1060</v>
      </c>
      <c r="V308" s="148"/>
      <c r="W308" s="148"/>
      <c r="X308" s="457"/>
    </row>
    <row r="309" spans="2:24" ht="14.25" hidden="1" customHeight="1">
      <c r="B309" s="455"/>
      <c r="C309" s="455"/>
      <c r="D309" s="309" t="s">
        <v>1061</v>
      </c>
      <c r="E309" s="309"/>
      <c r="F309" s="309"/>
      <c r="G309" s="251" t="s">
        <v>1062</v>
      </c>
      <c r="H309" s="309"/>
      <c r="I309" s="309"/>
      <c r="J309" s="353" t="s">
        <v>1025</v>
      </c>
      <c r="K309" s="394">
        <f>T308</f>
        <v>0</v>
      </c>
      <c r="L309" s="494">
        <v>6300</v>
      </c>
      <c r="M309" s="494"/>
      <c r="N309" s="395">
        <f>K309*L309</f>
        <v>0</v>
      </c>
      <c r="O309" s="395"/>
      <c r="P309" s="456"/>
      <c r="Q309" s="148"/>
      <c r="R309" s="148"/>
      <c r="S309" s="148"/>
      <c r="T309" s="148"/>
      <c r="U309" s="148"/>
      <c r="V309" s="148"/>
      <c r="W309" s="148"/>
      <c r="X309" s="457"/>
    </row>
    <row r="310" spans="2:24" ht="14.25" hidden="1" customHeight="1">
      <c r="B310" s="459" t="s">
        <v>1035</v>
      </c>
      <c r="C310" s="459"/>
      <c r="D310" s="459"/>
      <c r="E310" s="459"/>
      <c r="F310" s="459"/>
      <c r="G310" s="459"/>
      <c r="H310" s="459"/>
      <c r="I310" s="459"/>
      <c r="J310" s="461" t="s">
        <v>1036</v>
      </c>
      <c r="K310" s="526">
        <v>1</v>
      </c>
      <c r="L310" s="527"/>
      <c r="M310" s="527"/>
      <c r="N310" s="492">
        <f>(N306+N307)*(R310/100)</f>
        <v>0</v>
      </c>
      <c r="O310" s="492"/>
      <c r="P310" s="150" t="s">
        <v>1015</v>
      </c>
      <c r="Q310" s="150" t="s">
        <v>32</v>
      </c>
      <c r="R310" s="150">
        <v>5</v>
      </c>
      <c r="S310" s="148" t="s">
        <v>1038</v>
      </c>
      <c r="T310" s="148"/>
      <c r="U310" s="148"/>
      <c r="V310" s="148"/>
      <c r="W310" s="148"/>
      <c r="X310" s="457"/>
    </row>
    <row r="311" spans="2:24" ht="14.25" hidden="1" customHeight="1">
      <c r="B311" s="431"/>
      <c r="C311" s="433"/>
      <c r="D311" s="309" t="s">
        <v>606</v>
      </c>
      <c r="E311" s="309"/>
      <c r="F311" s="309"/>
      <c r="G311" s="309"/>
      <c r="H311" s="309"/>
      <c r="I311" s="309"/>
      <c r="J311" s="353"/>
      <c r="K311" s="394">
        <f>'[1]日数 (1)'!E611</f>
        <v>0</v>
      </c>
      <c r="L311" s="395">
        <v>0</v>
      </c>
      <c r="M311" s="396"/>
      <c r="N311" s="395">
        <f>SUM(N306:O310)</f>
        <v>0</v>
      </c>
      <c r="O311" s="395"/>
      <c r="P311" s="477"/>
      <c r="Q311" s="478"/>
      <c r="R311" s="478"/>
      <c r="S311" s="478"/>
      <c r="T311" s="478"/>
      <c r="U311" s="478"/>
      <c r="V311" s="478"/>
      <c r="W311" s="478"/>
      <c r="X311" s="446"/>
    </row>
    <row r="312" spans="2:24" ht="14.25" hidden="1" customHeight="1">
      <c r="B312" s="150"/>
      <c r="C312" s="150"/>
      <c r="D312" s="150"/>
      <c r="E312" s="150"/>
      <c r="F312" s="150"/>
      <c r="G312" s="150"/>
      <c r="H312" s="150"/>
      <c r="I312" s="150"/>
      <c r="J312" s="150"/>
      <c r="K312" s="147"/>
      <c r="L312" s="528"/>
      <c r="M312" s="528"/>
      <c r="N312" s="529"/>
      <c r="O312" s="529"/>
      <c r="P312" s="148"/>
      <c r="Q312" s="148"/>
      <c r="R312" s="148"/>
      <c r="S312" s="148"/>
      <c r="T312" s="148"/>
      <c r="U312" s="148"/>
      <c r="V312" s="148"/>
      <c r="W312" s="148"/>
      <c r="X312" s="148"/>
    </row>
    <row r="313" spans="2:24" ht="14.25" hidden="1" customHeight="1">
      <c r="B313" s="150"/>
      <c r="C313" s="150"/>
      <c r="D313" s="150"/>
      <c r="E313" s="150"/>
      <c r="F313" s="150"/>
      <c r="G313" s="150"/>
      <c r="H313" s="150"/>
      <c r="I313" s="150"/>
      <c r="J313" s="150"/>
      <c r="K313" s="147"/>
      <c r="L313" s="528"/>
      <c r="M313" s="528"/>
      <c r="N313" s="529"/>
      <c r="O313" s="529"/>
      <c r="P313" s="148"/>
      <c r="Q313" s="148"/>
      <c r="R313" s="148"/>
      <c r="S313" s="148"/>
      <c r="T313" s="148"/>
      <c r="U313" s="148"/>
      <c r="V313" s="148"/>
      <c r="W313" s="148"/>
      <c r="X313" s="148"/>
    </row>
    <row r="314" spans="2:24" ht="14.25" hidden="1" customHeight="1">
      <c r="B314" s="143"/>
      <c r="V314" s="159"/>
    </row>
    <row r="315" spans="2:24" ht="14.25" hidden="1" customHeight="1">
      <c r="B315" s="309" t="s">
        <v>1010</v>
      </c>
      <c r="C315" s="309"/>
      <c r="D315" s="251" t="s">
        <v>930</v>
      </c>
      <c r="E315" s="309"/>
      <c r="F315" s="309"/>
      <c r="G315" s="309" t="s">
        <v>1011</v>
      </c>
      <c r="H315" s="309"/>
      <c r="I315" s="309"/>
      <c r="J315" s="353" t="s">
        <v>931</v>
      </c>
      <c r="K315" s="353" t="s">
        <v>932</v>
      </c>
      <c r="L315" s="309" t="s">
        <v>1012</v>
      </c>
      <c r="M315" s="309"/>
      <c r="N315" s="309" t="s">
        <v>1013</v>
      </c>
      <c r="O315" s="309"/>
      <c r="P315" s="309" t="s">
        <v>1014</v>
      </c>
      <c r="Q315" s="309"/>
      <c r="R315" s="309"/>
      <c r="S315" s="309"/>
      <c r="T315" s="309"/>
      <c r="U315" s="309"/>
      <c r="V315" s="309"/>
      <c r="W315" s="309"/>
      <c r="X315" s="309"/>
    </row>
    <row r="316" spans="2:24" ht="14.25" hidden="1" customHeight="1">
      <c r="B316" s="459" t="s">
        <v>1015</v>
      </c>
      <c r="C316" s="459"/>
      <c r="D316" s="309" t="s">
        <v>1016</v>
      </c>
      <c r="E316" s="309"/>
      <c r="F316" s="309"/>
      <c r="G316" s="444" t="s">
        <v>1017</v>
      </c>
      <c r="H316" s="445">
        <v>1</v>
      </c>
      <c r="I316" s="446" t="s">
        <v>1018</v>
      </c>
      <c r="J316" s="353" t="s">
        <v>1019</v>
      </c>
      <c r="K316" s="394">
        <f>H316*R316</f>
        <v>0</v>
      </c>
      <c r="L316" s="395">
        <f>$L$234</f>
        <v>33710</v>
      </c>
      <c r="M316" s="395"/>
      <c r="N316" s="395">
        <f>K316*L316</f>
        <v>0</v>
      </c>
      <c r="O316" s="395"/>
      <c r="P316" s="224" t="s">
        <v>1053</v>
      </c>
      <c r="Q316" s="224"/>
      <c r="R316" s="450"/>
      <c r="S316" s="453" t="s">
        <v>183</v>
      </c>
      <c r="T316" s="318"/>
      <c r="U316" s="452" t="s">
        <v>1023</v>
      </c>
      <c r="V316" s="452"/>
      <c r="W316" s="453"/>
      <c r="X316" s="454"/>
    </row>
    <row r="317" spans="2:24" ht="14.25" hidden="1" customHeight="1">
      <c r="B317" s="455"/>
      <c r="C317" s="455"/>
      <c r="D317" s="309" t="s">
        <v>1024</v>
      </c>
      <c r="E317" s="309"/>
      <c r="F317" s="309"/>
      <c r="G317" s="444" t="s">
        <v>1017</v>
      </c>
      <c r="H317" s="445">
        <v>7</v>
      </c>
      <c r="I317" s="446" t="s">
        <v>1018</v>
      </c>
      <c r="J317" s="353" t="s">
        <v>1025</v>
      </c>
      <c r="K317" s="394">
        <f>H317*R316</f>
        <v>0</v>
      </c>
      <c r="L317" s="395">
        <f>$L$235</f>
        <v>28930</v>
      </c>
      <c r="M317" s="395"/>
      <c r="N317" s="395">
        <f>K317*L317</f>
        <v>0</v>
      </c>
      <c r="O317" s="395"/>
      <c r="P317" s="456"/>
      <c r="Q317" s="148"/>
      <c r="R317" s="148"/>
      <c r="S317" s="148"/>
      <c r="T317" s="148"/>
      <c r="U317" s="148"/>
      <c r="V317" s="148"/>
      <c r="W317" s="148"/>
      <c r="X317" s="457"/>
    </row>
    <row r="318" spans="2:24" ht="14.25" hidden="1" customHeight="1">
      <c r="B318" s="458"/>
      <c r="C318" s="458"/>
      <c r="D318" s="309" t="s">
        <v>1026</v>
      </c>
      <c r="E318" s="309"/>
      <c r="F318" s="309"/>
      <c r="G318" s="444" t="s">
        <v>1017</v>
      </c>
      <c r="H318" s="445">
        <v>1</v>
      </c>
      <c r="I318" s="446" t="s">
        <v>1018</v>
      </c>
      <c r="J318" s="353" t="s">
        <v>1025</v>
      </c>
      <c r="K318" s="394">
        <f>H318*R316</f>
        <v>0</v>
      </c>
      <c r="L318" s="395">
        <f>$L$236</f>
        <v>18800</v>
      </c>
      <c r="M318" s="395"/>
      <c r="N318" s="395">
        <f>K318*L318</f>
        <v>0</v>
      </c>
      <c r="O318" s="395"/>
      <c r="P318" s="456"/>
      <c r="Q318" s="148"/>
      <c r="R318" s="148"/>
      <c r="S318" s="148"/>
      <c r="T318" s="148"/>
      <c r="U318" s="148"/>
      <c r="V318" s="148"/>
      <c r="W318" s="148"/>
      <c r="X318" s="457"/>
    </row>
    <row r="319" spans="2:24" ht="14.25" hidden="1" customHeight="1">
      <c r="B319" s="459" t="s">
        <v>1027</v>
      </c>
      <c r="C319" s="459"/>
      <c r="D319" s="487" t="s">
        <v>1058</v>
      </c>
      <c r="E319" s="488"/>
      <c r="F319" s="488"/>
      <c r="G319" s="392" t="s">
        <v>1110</v>
      </c>
      <c r="H319" s="449"/>
      <c r="I319" s="393"/>
      <c r="J319" s="461" t="s">
        <v>1025</v>
      </c>
      <c r="K319" s="473">
        <f>ROUND(R316,0)</f>
        <v>0</v>
      </c>
      <c r="L319" s="492"/>
      <c r="M319" s="492"/>
      <c r="N319" s="492">
        <f>K319*L319</f>
        <v>0</v>
      </c>
      <c r="O319" s="492"/>
      <c r="P319" s="148"/>
      <c r="Q319" s="148"/>
      <c r="R319" s="148"/>
      <c r="S319" s="148"/>
      <c r="T319" s="148"/>
      <c r="U319" s="148"/>
      <c r="V319" s="148"/>
      <c r="W319" s="148"/>
      <c r="X319" s="457"/>
    </row>
    <row r="320" spans="2:24" ht="14.25" hidden="1" customHeight="1">
      <c r="B320" s="455"/>
      <c r="C320" s="455"/>
      <c r="D320" s="458"/>
      <c r="E320" s="458"/>
      <c r="F320" s="458"/>
      <c r="G320" s="458" t="s">
        <v>1047</v>
      </c>
      <c r="H320" s="458"/>
      <c r="I320" s="458"/>
      <c r="J320" s="468"/>
      <c r="K320" s="469"/>
      <c r="L320" s="493"/>
      <c r="M320" s="493"/>
      <c r="N320" s="493"/>
      <c r="O320" s="493"/>
      <c r="P320" s="148"/>
      <c r="Q320" s="148"/>
      <c r="R320" s="148"/>
      <c r="S320" s="148"/>
      <c r="T320" s="148"/>
      <c r="U320" s="148"/>
      <c r="V320" s="148"/>
      <c r="W320" s="148"/>
      <c r="X320" s="457"/>
    </row>
    <row r="321" spans="2:24" ht="14.25" hidden="1" customHeight="1">
      <c r="B321" s="455"/>
      <c r="C321" s="455"/>
      <c r="D321" s="309" t="s">
        <v>1059</v>
      </c>
      <c r="E321" s="309"/>
      <c r="F321" s="309"/>
      <c r="G321" s="309"/>
      <c r="H321" s="309"/>
      <c r="I321" s="309"/>
      <c r="J321" s="353" t="s">
        <v>1025</v>
      </c>
      <c r="K321" s="394">
        <f>T321</f>
        <v>0</v>
      </c>
      <c r="L321" s="494">
        <v>9830</v>
      </c>
      <c r="M321" s="494"/>
      <c r="N321" s="395">
        <f>K321*L321</f>
        <v>0</v>
      </c>
      <c r="O321" s="395"/>
      <c r="P321" s="151">
        <f>R316</f>
        <v>0</v>
      </c>
      <c r="Q321" s="149" t="s">
        <v>1034</v>
      </c>
      <c r="R321" s="150">
        <v>1.7</v>
      </c>
      <c r="S321" s="149" t="s">
        <v>1055</v>
      </c>
      <c r="T321" s="186">
        <f>ROUND(P321*R321,0)</f>
        <v>0</v>
      </c>
      <c r="U321" s="146" t="s">
        <v>1060</v>
      </c>
      <c r="V321" s="148"/>
      <c r="W321" s="148"/>
      <c r="X321" s="457"/>
    </row>
    <row r="322" spans="2:24" ht="14.25" hidden="1" customHeight="1">
      <c r="B322" s="455"/>
      <c r="C322" s="455"/>
      <c r="D322" s="309" t="s">
        <v>1061</v>
      </c>
      <c r="E322" s="309"/>
      <c r="F322" s="309"/>
      <c r="G322" s="251" t="s">
        <v>1062</v>
      </c>
      <c r="H322" s="309"/>
      <c r="I322" s="309"/>
      <c r="J322" s="353" t="s">
        <v>1025</v>
      </c>
      <c r="K322" s="394">
        <f>T321</f>
        <v>0</v>
      </c>
      <c r="L322" s="494">
        <v>6300</v>
      </c>
      <c r="M322" s="494"/>
      <c r="N322" s="395">
        <f>K322*L322</f>
        <v>0</v>
      </c>
      <c r="O322" s="395"/>
      <c r="P322" s="456"/>
      <c r="Q322" s="148"/>
      <c r="R322" s="148"/>
      <c r="S322" s="148"/>
      <c r="T322" s="148"/>
      <c r="U322" s="148"/>
      <c r="V322" s="148"/>
      <c r="W322" s="148"/>
      <c r="X322" s="457"/>
    </row>
    <row r="323" spans="2:24" ht="14.25" hidden="1" customHeight="1">
      <c r="B323" s="459" t="s">
        <v>1035</v>
      </c>
      <c r="C323" s="459"/>
      <c r="D323" s="459"/>
      <c r="E323" s="459"/>
      <c r="F323" s="459"/>
      <c r="G323" s="459"/>
      <c r="H323" s="459"/>
      <c r="I323" s="459"/>
      <c r="J323" s="461" t="s">
        <v>1036</v>
      </c>
      <c r="K323" s="526">
        <v>1</v>
      </c>
      <c r="L323" s="527"/>
      <c r="M323" s="527"/>
      <c r="N323" s="492">
        <f>(N316+N317+N318)*(R323/100)</f>
        <v>0</v>
      </c>
      <c r="O323" s="492"/>
      <c r="P323" s="150" t="s">
        <v>1015</v>
      </c>
      <c r="Q323" s="150" t="s">
        <v>32</v>
      </c>
      <c r="R323" s="150">
        <v>6</v>
      </c>
      <c r="S323" s="148" t="s">
        <v>1038</v>
      </c>
      <c r="T323" s="148"/>
      <c r="U323" s="148"/>
      <c r="V323" s="148"/>
      <c r="W323" s="148"/>
      <c r="X323" s="457"/>
    </row>
    <row r="324" spans="2:24" ht="14.25" hidden="1" customHeight="1">
      <c r="B324" s="431"/>
      <c r="C324" s="433"/>
      <c r="D324" s="309" t="s">
        <v>606</v>
      </c>
      <c r="E324" s="309"/>
      <c r="F324" s="309"/>
      <c r="G324" s="309"/>
      <c r="H324" s="309"/>
      <c r="I324" s="309"/>
      <c r="J324" s="353"/>
      <c r="K324" s="394">
        <f>'[1]日数 (1)'!F626</f>
        <v>0</v>
      </c>
      <c r="L324" s="395">
        <v>0</v>
      </c>
      <c r="M324" s="396"/>
      <c r="N324" s="395">
        <f>SUM(N316:O323)</f>
        <v>0</v>
      </c>
      <c r="O324" s="395"/>
      <c r="P324" s="477"/>
      <c r="Q324" s="478"/>
      <c r="R324" s="478"/>
      <c r="S324" s="478"/>
      <c r="T324" s="478"/>
      <c r="U324" s="478"/>
      <c r="V324" s="478"/>
      <c r="W324" s="478"/>
      <c r="X324" s="446"/>
    </row>
    <row r="325" spans="2:24" ht="14.25" hidden="1" customHeight="1">
      <c r="B325" s="150"/>
      <c r="C325" s="150"/>
      <c r="D325" s="150"/>
      <c r="E325" s="150"/>
      <c r="F325" s="150"/>
      <c r="G325" s="150"/>
      <c r="H325" s="150"/>
      <c r="I325" s="150"/>
      <c r="J325" s="150"/>
      <c r="K325" s="147"/>
      <c r="L325" s="528"/>
      <c r="M325" s="528"/>
      <c r="N325" s="529"/>
      <c r="O325" s="529"/>
      <c r="P325" s="148"/>
      <c r="Q325" s="148"/>
      <c r="R325" s="148"/>
      <c r="S325" s="148"/>
      <c r="T325" s="148"/>
      <c r="U325" s="148"/>
      <c r="V325" s="148"/>
      <c r="W325" s="148"/>
      <c r="X325" s="148"/>
    </row>
    <row r="326" spans="2:24" ht="14.25" hidden="1" customHeight="1">
      <c r="B326" s="150"/>
      <c r="C326" s="150"/>
      <c r="D326" s="150"/>
      <c r="E326" s="150"/>
      <c r="F326" s="150"/>
      <c r="G326" s="150"/>
      <c r="H326" s="150"/>
      <c r="I326" s="150"/>
      <c r="J326" s="150"/>
      <c r="K326" s="147"/>
      <c r="L326" s="528"/>
      <c r="M326" s="528"/>
      <c r="N326" s="529"/>
      <c r="O326" s="529"/>
      <c r="P326" s="148"/>
      <c r="Q326" s="148"/>
      <c r="R326" s="148"/>
      <c r="S326" s="148"/>
      <c r="T326" s="148"/>
      <c r="U326" s="148"/>
      <c r="V326" s="148"/>
      <c r="W326" s="148"/>
      <c r="X326" s="148"/>
    </row>
    <row r="327" spans="2:24" ht="14.25" hidden="1" customHeight="1">
      <c r="B327" s="143" t="s">
        <v>1170</v>
      </c>
      <c r="V327" s="159"/>
    </row>
    <row r="328" spans="2:24" ht="14.25" hidden="1" customHeight="1">
      <c r="B328" s="309" t="s">
        <v>1010</v>
      </c>
      <c r="C328" s="309"/>
      <c r="D328" s="251" t="s">
        <v>930</v>
      </c>
      <c r="E328" s="309"/>
      <c r="F328" s="309"/>
      <c r="G328" s="309" t="s">
        <v>1011</v>
      </c>
      <c r="H328" s="309"/>
      <c r="I328" s="309"/>
      <c r="J328" s="353" t="s">
        <v>931</v>
      </c>
      <c r="K328" s="353" t="s">
        <v>932</v>
      </c>
      <c r="L328" s="309" t="s">
        <v>1012</v>
      </c>
      <c r="M328" s="309"/>
      <c r="N328" s="309" t="s">
        <v>1013</v>
      </c>
      <c r="O328" s="309"/>
      <c r="P328" s="309" t="s">
        <v>1014</v>
      </c>
      <c r="Q328" s="309"/>
      <c r="R328" s="309"/>
      <c r="S328" s="309"/>
      <c r="T328" s="309"/>
      <c r="U328" s="309"/>
      <c r="V328" s="309"/>
      <c r="W328" s="309"/>
      <c r="X328" s="309"/>
    </row>
    <row r="329" spans="2:24" ht="14.25" hidden="1" customHeight="1">
      <c r="B329" s="459" t="s">
        <v>1171</v>
      </c>
      <c r="C329" s="459"/>
      <c r="D329" s="309" t="s">
        <v>1172</v>
      </c>
      <c r="E329" s="309"/>
      <c r="F329" s="309"/>
      <c r="G329" s="431"/>
      <c r="H329" s="432"/>
      <c r="I329" s="433"/>
      <c r="J329" s="353" t="s">
        <v>1019</v>
      </c>
      <c r="K329" s="549">
        <f ca="1">IF('[1]クレーン (1)'!D33&lt;=120,4.3,IF('[1]クレーン (1)'!D33&lt;=160,5.7,IF('[1]クレーン (1)'!D33&lt;=360,11.7,IF('[1]クレーン (1)'!D33&lt;=550,20.9,20.9))))</f>
        <v>4.3</v>
      </c>
      <c r="L329" s="550">
        <f>VLOOKUP("全国平均",[1]労務単価!A1:G57,7,FALSE)</f>
        <v>21910</v>
      </c>
      <c r="M329" s="551"/>
      <c r="N329" s="395">
        <f ca="1">K329*L329</f>
        <v>94213</v>
      </c>
      <c r="O329" s="395"/>
      <c r="P329" s="552"/>
      <c r="Q329" s="552"/>
      <c r="R329" s="482"/>
      <c r="S329" s="453"/>
      <c r="T329" s="453"/>
      <c r="U329" s="453"/>
      <c r="V329" s="453"/>
      <c r="W329" s="453"/>
      <c r="X329" s="454"/>
    </row>
    <row r="330" spans="2:24" ht="14.25" hidden="1" customHeight="1">
      <c r="B330" s="455"/>
      <c r="C330" s="455"/>
      <c r="D330" s="487" t="s">
        <v>1058</v>
      </c>
      <c r="E330" s="488"/>
      <c r="F330" s="488"/>
      <c r="G330" s="392" t="s">
        <v>1046</v>
      </c>
      <c r="H330" s="449"/>
      <c r="I330" s="393"/>
      <c r="J330" s="461" t="s">
        <v>183</v>
      </c>
      <c r="K330" s="213">
        <f ca="1">IF('[1]クレーン (1)'!D33&lt;=120,1.5,IF('[1]クレーン (1)'!D33&lt;=160,1.9,IF('[1]クレーン (1)'!D33&lt;=360,4,IF('[1]クレーン (1)'!D33&lt;=550,7.1,7.1))))</f>
        <v>1.5</v>
      </c>
      <c r="L330" s="553">
        <f>VLOOKUP("全国平均",[1]クレーン単価!A1:O57,RANK(50,[1]クレーン単価!B1:O1,1)+1,FALSE)</f>
        <v>92600</v>
      </c>
      <c r="M330" s="554"/>
      <c r="N330" s="492">
        <f ca="1">K330*L330</f>
        <v>138900</v>
      </c>
      <c r="O330" s="492"/>
      <c r="P330" s="148"/>
      <c r="Q330" s="148"/>
      <c r="R330" s="148"/>
      <c r="S330" s="148"/>
      <c r="T330" s="148"/>
      <c r="U330" s="148"/>
      <c r="V330" s="148"/>
      <c r="W330" s="148"/>
      <c r="X330" s="457"/>
    </row>
    <row r="331" spans="2:24" ht="14.25" hidden="1" customHeight="1">
      <c r="B331" s="458"/>
      <c r="C331" s="458"/>
      <c r="D331" s="458"/>
      <c r="E331" s="458"/>
      <c r="F331" s="458"/>
      <c r="G331" s="282" t="s">
        <v>1173</v>
      </c>
      <c r="H331" s="458"/>
      <c r="I331" s="458"/>
      <c r="J331" s="468"/>
      <c r="K331" s="555"/>
      <c r="L331" s="556"/>
      <c r="M331" s="556"/>
      <c r="N331" s="493"/>
      <c r="O331" s="493"/>
      <c r="P331" s="148"/>
      <c r="Q331" s="148"/>
      <c r="R331" s="148"/>
      <c r="S331" s="148"/>
      <c r="T331" s="148"/>
      <c r="U331" s="148"/>
      <c r="V331" s="148"/>
      <c r="W331" s="148"/>
      <c r="X331" s="457"/>
    </row>
    <row r="332" spans="2:24" ht="14.25" hidden="1" customHeight="1">
      <c r="B332" s="458" t="s">
        <v>1174</v>
      </c>
      <c r="C332" s="458"/>
      <c r="D332" s="309" t="s">
        <v>1174</v>
      </c>
      <c r="E332" s="309"/>
      <c r="F332" s="309"/>
      <c r="G332" s="309"/>
      <c r="H332" s="309"/>
      <c r="I332" s="309"/>
      <c r="J332" s="353" t="s">
        <v>1175</v>
      </c>
      <c r="K332" s="213">
        <f ca="1">IF('[1]クレーン (1)'!D33&lt;=120,439,IF('[1]クレーン (1)'!D33&lt;=160,454,IF('[1]クレーン (1)'!D33&lt;=360,443,IF('[1]クレーン (1)'!D33&lt;=550,446,446))))</f>
        <v>439</v>
      </c>
      <c r="L332" s="557"/>
      <c r="M332" s="557"/>
      <c r="N332" s="395">
        <f ca="1">(N329+N330)*K332*0.01</f>
        <v>1023366.0700000001</v>
      </c>
      <c r="O332" s="395"/>
      <c r="P332" s="150"/>
      <c r="Q332" s="150"/>
      <c r="R332" s="150"/>
      <c r="S332" s="148"/>
      <c r="T332" s="148"/>
      <c r="U332" s="148"/>
      <c r="V332" s="148"/>
      <c r="W332" s="148"/>
      <c r="X332" s="457"/>
    </row>
    <row r="333" spans="2:24" ht="14.25" hidden="1" customHeight="1">
      <c r="B333" s="309"/>
      <c r="C333" s="309"/>
      <c r="D333" s="309" t="s">
        <v>606</v>
      </c>
      <c r="E333" s="309"/>
      <c r="F333" s="309"/>
      <c r="G333" s="309"/>
      <c r="H333" s="309"/>
      <c r="I333" s="309"/>
      <c r="J333" s="353"/>
      <c r="K333" s="406"/>
      <c r="L333" s="419"/>
      <c r="M333" s="420"/>
      <c r="N333" s="395">
        <f ca="1">SUM(N329:O332)</f>
        <v>1256479.07</v>
      </c>
      <c r="O333" s="395"/>
      <c r="P333" s="478"/>
      <c r="Q333" s="478"/>
      <c r="R333" s="478"/>
      <c r="S333" s="478"/>
      <c r="T333" s="478"/>
      <c r="U333" s="478"/>
      <c r="V333" s="478"/>
      <c r="W333" s="478"/>
      <c r="X333" s="446"/>
    </row>
    <row r="334" spans="2:24" ht="14.25" hidden="1" customHeight="1">
      <c r="B334" s="143"/>
      <c r="V334" s="159"/>
    </row>
    <row r="335" spans="2:24" ht="14.25" hidden="1" customHeight="1">
      <c r="B335" s="150"/>
      <c r="C335" s="150"/>
      <c r="D335" s="150"/>
      <c r="E335" s="150"/>
      <c r="F335" s="150"/>
      <c r="G335" s="150"/>
      <c r="H335" s="150"/>
      <c r="I335" s="150"/>
      <c r="J335" s="150"/>
      <c r="K335" s="147"/>
      <c r="L335" s="528"/>
      <c r="M335" s="528"/>
      <c r="N335" s="529"/>
      <c r="O335" s="529"/>
      <c r="P335" s="148"/>
      <c r="Q335" s="148"/>
      <c r="R335" s="148"/>
      <c r="S335" s="148"/>
      <c r="T335" s="148"/>
      <c r="U335" s="148"/>
      <c r="V335" s="148"/>
      <c r="W335" s="148"/>
      <c r="X335" s="148"/>
    </row>
    <row r="336" spans="2:24" ht="14.25" customHeight="1">
      <c r="B336" s="143" t="s">
        <v>1176</v>
      </c>
      <c r="V336" s="159"/>
    </row>
    <row r="337" spans="2:24" ht="14.25" customHeight="1">
      <c r="B337" s="431" t="s">
        <v>1010</v>
      </c>
      <c r="C337" s="433"/>
      <c r="D337" s="389" t="s">
        <v>930</v>
      </c>
      <c r="E337" s="390"/>
      <c r="F337" s="391"/>
      <c r="G337" s="431" t="s">
        <v>1011</v>
      </c>
      <c r="H337" s="432"/>
      <c r="I337" s="433"/>
      <c r="J337" s="353" t="s">
        <v>931</v>
      </c>
      <c r="K337" s="353" t="s">
        <v>932</v>
      </c>
      <c r="L337" s="431" t="s">
        <v>1012</v>
      </c>
      <c r="M337" s="433"/>
      <c r="N337" s="431" t="s">
        <v>1013</v>
      </c>
      <c r="O337" s="433"/>
      <c r="P337" s="431" t="s">
        <v>1014</v>
      </c>
      <c r="Q337" s="432"/>
      <c r="R337" s="432"/>
      <c r="S337" s="432"/>
      <c r="T337" s="432"/>
      <c r="U337" s="432"/>
      <c r="V337" s="432"/>
      <c r="W337" s="432"/>
      <c r="X337" s="433"/>
    </row>
    <row r="338" spans="2:24" ht="14.25" customHeight="1">
      <c r="B338" s="442" t="s">
        <v>1015</v>
      </c>
      <c r="C338" s="443"/>
      <c r="D338" s="431" t="s">
        <v>1016</v>
      </c>
      <c r="E338" s="432"/>
      <c r="F338" s="433"/>
      <c r="G338" s="444" t="s">
        <v>1017</v>
      </c>
      <c r="H338" s="445">
        <v>1</v>
      </c>
      <c r="I338" s="446" t="s">
        <v>1018</v>
      </c>
      <c r="J338" s="353" t="s">
        <v>1019</v>
      </c>
      <c r="K338" s="394">
        <f>H338*R338</f>
        <v>30</v>
      </c>
      <c r="L338" s="425">
        <f>$L$234</f>
        <v>33710</v>
      </c>
      <c r="M338" s="448"/>
      <c r="N338" s="425">
        <f>K338*L338</f>
        <v>1011300</v>
      </c>
      <c r="O338" s="448"/>
      <c r="P338" s="442" t="s">
        <v>1053</v>
      </c>
      <c r="Q338" s="224"/>
      <c r="R338" s="450">
        <f>'[1]日数 (1)'!D676</f>
        <v>30</v>
      </c>
      <c r="S338" s="453" t="s">
        <v>183</v>
      </c>
      <c r="T338" s="318" t="s">
        <v>1022</v>
      </c>
      <c r="U338" s="452" t="s">
        <v>1023</v>
      </c>
      <c r="V338" s="452"/>
      <c r="W338" s="453"/>
      <c r="X338" s="454"/>
    </row>
    <row r="339" spans="2:24" ht="14.25" customHeight="1">
      <c r="B339" s="404"/>
      <c r="C339" s="405"/>
      <c r="D339" s="431" t="s">
        <v>1024</v>
      </c>
      <c r="E339" s="432"/>
      <c r="F339" s="433"/>
      <c r="G339" s="444" t="s">
        <v>1017</v>
      </c>
      <c r="H339" s="445">
        <v>6</v>
      </c>
      <c r="I339" s="446" t="s">
        <v>1018</v>
      </c>
      <c r="J339" s="353" t="s">
        <v>1025</v>
      </c>
      <c r="K339" s="394">
        <f>H339*R338</f>
        <v>180</v>
      </c>
      <c r="L339" s="425">
        <f>$L$235</f>
        <v>28930</v>
      </c>
      <c r="M339" s="448"/>
      <c r="N339" s="425">
        <f>K339*L339</f>
        <v>5207400</v>
      </c>
      <c r="O339" s="448"/>
      <c r="P339" s="148"/>
      <c r="Q339" s="148"/>
      <c r="R339" s="148"/>
      <c r="S339" s="148"/>
      <c r="T339" s="148"/>
      <c r="U339" s="148"/>
      <c r="V339" s="148"/>
      <c r="W339" s="148"/>
      <c r="X339" s="457"/>
    </row>
    <row r="340" spans="2:24" ht="14.25" customHeight="1">
      <c r="B340" s="389" t="s">
        <v>1031</v>
      </c>
      <c r="C340" s="391"/>
      <c r="D340" s="389" t="s">
        <v>1177</v>
      </c>
      <c r="E340" s="390"/>
      <c r="F340" s="391"/>
      <c r="G340" s="389" t="s">
        <v>1178</v>
      </c>
      <c r="H340" s="390"/>
      <c r="I340" s="391"/>
      <c r="J340" s="350" t="s">
        <v>948</v>
      </c>
      <c r="K340" s="394">
        <f>ROUND('[1]日数 (1)'!F651,1)</f>
        <v>117</v>
      </c>
      <c r="L340" s="425">
        <f>N354/100</f>
        <v>8369.76</v>
      </c>
      <c r="M340" s="448"/>
      <c r="N340" s="425">
        <f>K340*L340</f>
        <v>979261.92</v>
      </c>
      <c r="O340" s="448"/>
      <c r="P340" s="147"/>
      <c r="Q340" s="149"/>
      <c r="R340" s="150"/>
      <c r="S340" s="149"/>
      <c r="T340" s="507"/>
      <c r="U340" s="146"/>
      <c r="V340" s="148"/>
      <c r="W340" s="148"/>
      <c r="X340" s="457"/>
    </row>
    <row r="341" spans="2:24" ht="14.25" customHeight="1">
      <c r="B341" s="389" t="s">
        <v>1179</v>
      </c>
      <c r="C341" s="391"/>
      <c r="D341" s="389" t="s">
        <v>1180</v>
      </c>
      <c r="E341" s="390"/>
      <c r="F341" s="391"/>
      <c r="G341" s="431"/>
      <c r="H341" s="432"/>
      <c r="I341" s="433"/>
      <c r="J341" s="350" t="s">
        <v>1181</v>
      </c>
      <c r="K341" s="394">
        <f>ROUND('[1]日数 (1)'!F653,1)</f>
        <v>26</v>
      </c>
      <c r="L341" s="425">
        <f>N361</f>
        <v>129700</v>
      </c>
      <c r="M341" s="448"/>
      <c r="N341" s="425">
        <f>K341*L341</f>
        <v>3372200</v>
      </c>
      <c r="O341" s="448"/>
      <c r="P341" s="148"/>
      <c r="Q341" s="148"/>
      <c r="R341" s="148"/>
      <c r="S341" s="148"/>
      <c r="T341" s="148"/>
      <c r="U341" s="148"/>
      <c r="V341" s="148"/>
      <c r="W341" s="148"/>
      <c r="X341" s="457"/>
    </row>
    <row r="342" spans="2:24" ht="14.25" customHeight="1">
      <c r="B342" s="431" t="s">
        <v>1035</v>
      </c>
      <c r="C342" s="433"/>
      <c r="D342" s="431"/>
      <c r="E342" s="432"/>
      <c r="F342" s="433"/>
      <c r="G342" s="431"/>
      <c r="H342" s="432"/>
      <c r="I342" s="433"/>
      <c r="J342" s="461" t="s">
        <v>1036</v>
      </c>
      <c r="K342" s="526">
        <v>1</v>
      </c>
      <c r="L342" s="419"/>
      <c r="M342" s="420"/>
      <c r="N342" s="425">
        <f>(N338+N339)*(R342/100)</f>
        <v>2052171</v>
      </c>
      <c r="O342" s="448"/>
      <c r="P342" s="150" t="s">
        <v>1015</v>
      </c>
      <c r="Q342" s="150" t="s">
        <v>32</v>
      </c>
      <c r="R342" s="150">
        <v>33</v>
      </c>
      <c r="S342" s="148" t="s">
        <v>1038</v>
      </c>
      <c r="T342" s="148"/>
      <c r="U342" s="148"/>
      <c r="V342" s="148"/>
      <c r="W342" s="148"/>
      <c r="X342" s="457"/>
    </row>
    <row r="343" spans="2:24" ht="14.25" customHeight="1">
      <c r="B343" s="431"/>
      <c r="C343" s="433"/>
      <c r="D343" s="431" t="s">
        <v>606</v>
      </c>
      <c r="E343" s="432"/>
      <c r="F343" s="433"/>
      <c r="G343" s="431"/>
      <c r="H343" s="432"/>
      <c r="I343" s="433"/>
      <c r="J343" s="353"/>
      <c r="K343" s="394">
        <f>'[1]日数 (1)'!F651</f>
        <v>117</v>
      </c>
      <c r="L343" s="425">
        <f>INT(Cel工事_現場継手部溶接工_金額計 / Cel工事_現場継手部溶接工_数量計)</f>
        <v>90343</v>
      </c>
      <c r="M343" s="420"/>
      <c r="N343" s="425">
        <f>SUM(N338:O341)</f>
        <v>10570161.92</v>
      </c>
      <c r="O343" s="448"/>
      <c r="P343" s="478"/>
      <c r="Q343" s="478"/>
      <c r="R343" s="478"/>
      <c r="S343" s="478"/>
      <c r="T343" s="478"/>
      <c r="U343" s="478"/>
      <c r="V343" s="478"/>
      <c r="W343" s="478"/>
      <c r="X343" s="446"/>
    </row>
    <row r="344" spans="2:24" ht="14.25" customHeight="1">
      <c r="B344" s="150"/>
      <c r="C344" s="150"/>
      <c r="D344" s="150"/>
      <c r="E344" s="150"/>
      <c r="F344" s="150"/>
      <c r="G344" s="150"/>
      <c r="H344" s="150"/>
      <c r="I344" s="150"/>
      <c r="J344" s="150"/>
      <c r="K344" s="175"/>
      <c r="L344" s="528"/>
      <c r="M344" s="528"/>
      <c r="P344" s="148"/>
      <c r="Q344" s="148"/>
      <c r="R344" s="148"/>
      <c r="S344" s="148"/>
      <c r="T344" s="148"/>
      <c r="U344" s="148"/>
      <c r="V344" s="148"/>
      <c r="W344" s="148"/>
      <c r="X344" s="148"/>
    </row>
    <row r="345" spans="2:24" ht="14.25" customHeight="1"/>
    <row r="346" spans="2:24" ht="14.25" customHeight="1">
      <c r="B346" s="143" t="s">
        <v>1182</v>
      </c>
      <c r="J346" s="558" t="s">
        <v>1183</v>
      </c>
      <c r="K346" s="559"/>
      <c r="L346" s="560">
        <f>'[1]日数 (1)'!D662</f>
        <v>23.17</v>
      </c>
      <c r="M346" s="157" t="s">
        <v>1184</v>
      </c>
      <c r="V346" s="159"/>
    </row>
    <row r="347" spans="2:24" ht="14.25" customHeight="1">
      <c r="B347" s="309" t="s">
        <v>1010</v>
      </c>
      <c r="C347" s="309"/>
      <c r="D347" s="251" t="s">
        <v>930</v>
      </c>
      <c r="E347" s="309"/>
      <c r="F347" s="309"/>
      <c r="G347" s="309" t="s">
        <v>1011</v>
      </c>
      <c r="H347" s="309"/>
      <c r="I347" s="309"/>
      <c r="J347" s="353" t="s">
        <v>931</v>
      </c>
      <c r="K347" s="353" t="s">
        <v>932</v>
      </c>
      <c r="L347" s="309" t="s">
        <v>1012</v>
      </c>
      <c r="M347" s="309"/>
      <c r="N347" s="309" t="s">
        <v>1013</v>
      </c>
      <c r="O347" s="309"/>
      <c r="P347" s="433" t="s">
        <v>1014</v>
      </c>
      <c r="Q347" s="309"/>
      <c r="R347" s="309"/>
      <c r="S347" s="309"/>
      <c r="T347" s="309"/>
      <c r="U347" s="309"/>
      <c r="V347" s="309"/>
      <c r="W347" s="309"/>
      <c r="X347" s="309"/>
    </row>
    <row r="348" spans="2:24" ht="14.25" customHeight="1">
      <c r="B348" s="460" t="s">
        <v>1031</v>
      </c>
      <c r="C348" s="459"/>
      <c r="D348" s="251" t="s">
        <v>1185</v>
      </c>
      <c r="E348" s="309"/>
      <c r="F348" s="309"/>
      <c r="G348" s="251" t="s">
        <v>1178</v>
      </c>
      <c r="H348" s="309"/>
      <c r="I348" s="309"/>
      <c r="J348" s="350" t="s">
        <v>1186</v>
      </c>
      <c r="K348" s="561">
        <f>W348</f>
        <v>303</v>
      </c>
      <c r="L348" s="562" t="s">
        <v>1187</v>
      </c>
      <c r="M348" s="562"/>
      <c r="N348" s="562" t="s">
        <v>1187</v>
      </c>
      <c r="O348" s="562"/>
      <c r="P348" s="563" t="s">
        <v>1188</v>
      </c>
      <c r="Q348" s="564"/>
      <c r="R348" s="565">
        <f>L346</f>
        <v>23.17</v>
      </c>
      <c r="S348" s="566" t="s">
        <v>1189</v>
      </c>
      <c r="T348" s="567" t="s">
        <v>1190</v>
      </c>
      <c r="U348" s="568" t="s">
        <v>1191</v>
      </c>
      <c r="V348" s="149" t="s">
        <v>1055</v>
      </c>
      <c r="W348" s="569">
        <f>ROUND((0.2172 * R348 - 2)*100, 0)</f>
        <v>303</v>
      </c>
      <c r="X348" s="570" t="s">
        <v>1192</v>
      </c>
    </row>
    <row r="349" spans="2:24" ht="14.25" customHeight="1">
      <c r="B349" s="455"/>
      <c r="C349" s="455"/>
      <c r="D349" s="251" t="s">
        <v>1193</v>
      </c>
      <c r="E349" s="309"/>
      <c r="F349" s="309"/>
      <c r="G349" s="309"/>
      <c r="H349" s="309"/>
      <c r="I349" s="309"/>
      <c r="J349" s="353" t="s">
        <v>1025</v>
      </c>
      <c r="K349" s="561">
        <f>W349</f>
        <v>303</v>
      </c>
      <c r="L349" s="562" t="s">
        <v>1187</v>
      </c>
      <c r="M349" s="562"/>
      <c r="N349" s="562" t="s">
        <v>1187</v>
      </c>
      <c r="O349" s="562"/>
      <c r="P349" s="571" t="s">
        <v>1188</v>
      </c>
      <c r="Q349" s="572"/>
      <c r="R349" s="178">
        <f>L346</f>
        <v>23.17</v>
      </c>
      <c r="S349" s="300" t="s">
        <v>1189</v>
      </c>
      <c r="T349" s="150" t="s">
        <v>1194</v>
      </c>
      <c r="U349" s="149" t="s">
        <v>1191</v>
      </c>
      <c r="V349" s="149" t="s">
        <v>1055</v>
      </c>
      <c r="W349" s="573">
        <f>ROUND((0.2172 * R349 - 2)*100, 0)</f>
        <v>303</v>
      </c>
      <c r="X349" s="506" t="s">
        <v>1195</v>
      </c>
    </row>
    <row r="350" spans="2:24" ht="14.25" customHeight="1">
      <c r="B350" s="512"/>
      <c r="C350" s="455"/>
      <c r="D350" s="310" t="s">
        <v>1196</v>
      </c>
      <c r="E350" s="311"/>
      <c r="F350" s="311"/>
      <c r="G350" s="309"/>
      <c r="H350" s="309"/>
      <c r="I350" s="309"/>
      <c r="J350" s="350" t="s">
        <v>948</v>
      </c>
      <c r="K350" s="574">
        <v>110</v>
      </c>
      <c r="L350" s="562" t="s">
        <v>1187</v>
      </c>
      <c r="M350" s="562"/>
      <c r="N350" s="562" t="s">
        <v>1187</v>
      </c>
      <c r="O350" s="562"/>
      <c r="P350" s="575"/>
      <c r="Q350" s="149"/>
      <c r="R350" s="147"/>
      <c r="S350" s="305"/>
      <c r="T350" s="149"/>
      <c r="U350" s="576"/>
      <c r="V350" s="149"/>
      <c r="W350" s="148"/>
      <c r="X350" s="457"/>
    </row>
    <row r="351" spans="2:24" ht="14.25" customHeight="1">
      <c r="B351" s="455"/>
      <c r="C351" s="455"/>
      <c r="D351" s="282" t="s">
        <v>1197</v>
      </c>
      <c r="E351" s="458"/>
      <c r="F351" s="458"/>
      <c r="G351" s="282" t="s">
        <v>1198</v>
      </c>
      <c r="H351" s="458"/>
      <c r="I351" s="458"/>
      <c r="J351" s="351" t="s">
        <v>1199</v>
      </c>
      <c r="K351" s="577">
        <v>3328</v>
      </c>
      <c r="L351" s="562" t="s">
        <v>1187</v>
      </c>
      <c r="M351" s="562"/>
      <c r="N351" s="562" t="s">
        <v>1187</v>
      </c>
      <c r="O351" s="562"/>
      <c r="P351" s="148"/>
      <c r="Q351" s="148"/>
      <c r="R351" s="148"/>
      <c r="S351" s="148"/>
      <c r="T351" s="148"/>
      <c r="U351" s="148"/>
      <c r="V351" s="148"/>
      <c r="W351" s="148"/>
      <c r="X351" s="457"/>
    </row>
    <row r="352" spans="2:24" ht="14.25" customHeight="1">
      <c r="B352" s="282"/>
      <c r="C352" s="458"/>
      <c r="D352" s="251" t="s">
        <v>1200</v>
      </c>
      <c r="E352" s="309"/>
      <c r="F352" s="309"/>
      <c r="G352" s="251" t="s">
        <v>1198</v>
      </c>
      <c r="H352" s="309"/>
      <c r="I352" s="309"/>
      <c r="J352" s="353" t="s">
        <v>1025</v>
      </c>
      <c r="K352" s="578">
        <v>376</v>
      </c>
      <c r="L352" s="562" t="s">
        <v>1187</v>
      </c>
      <c r="M352" s="562"/>
      <c r="N352" s="562" t="s">
        <v>1201</v>
      </c>
      <c r="O352" s="562"/>
      <c r="P352" s="148"/>
      <c r="Q352" s="148"/>
      <c r="R352" s="148" t="s">
        <v>1202</v>
      </c>
      <c r="T352" s="148"/>
      <c r="U352" s="148"/>
      <c r="V352" s="148"/>
      <c r="W352" s="148"/>
      <c r="X352" s="457"/>
    </row>
    <row r="353" spans="2:24" ht="14.25" customHeight="1">
      <c r="B353" s="282" t="s">
        <v>1035</v>
      </c>
      <c r="C353" s="458"/>
      <c r="D353" s="251"/>
      <c r="E353" s="309"/>
      <c r="F353" s="309"/>
      <c r="G353" s="309"/>
      <c r="H353" s="309"/>
      <c r="I353" s="309"/>
      <c r="J353" s="350" t="s">
        <v>1052</v>
      </c>
      <c r="K353" s="574">
        <v>5</v>
      </c>
      <c r="L353" s="557"/>
      <c r="M353" s="557"/>
      <c r="N353" s="562" t="s">
        <v>1187</v>
      </c>
      <c r="O353" s="562"/>
      <c r="P353" s="579">
        <v>7520</v>
      </c>
      <c r="Q353" s="150" t="s">
        <v>1203</v>
      </c>
      <c r="R353" s="580">
        <v>1.06</v>
      </c>
      <c r="S353" s="183" t="s">
        <v>1034</v>
      </c>
      <c r="T353" s="581">
        <v>100</v>
      </c>
      <c r="U353" s="148"/>
      <c r="V353" s="148"/>
      <c r="W353" s="148"/>
      <c r="X353" s="457"/>
    </row>
    <row r="354" spans="2:24" ht="14.25" customHeight="1">
      <c r="B354" s="309"/>
      <c r="C354" s="309"/>
      <c r="D354" s="309" t="s">
        <v>606</v>
      </c>
      <c r="E354" s="309"/>
      <c r="F354" s="309"/>
      <c r="G354" s="309"/>
      <c r="H354" s="309"/>
      <c r="I354" s="309"/>
      <c r="J354" s="353"/>
      <c r="K354" s="582"/>
      <c r="L354" s="557"/>
      <c r="M354" s="557"/>
      <c r="N354" s="395">
        <f>P353*R353*((100+K353)/100)*100</f>
        <v>836976</v>
      </c>
      <c r="O354" s="395"/>
      <c r="P354" s="478"/>
      <c r="Q354" s="478"/>
      <c r="R354" s="478"/>
      <c r="S354" s="478"/>
      <c r="T354" s="478"/>
      <c r="U354" s="478"/>
      <c r="V354" s="478"/>
      <c r="W354" s="478"/>
      <c r="X354" s="446"/>
    </row>
    <row r="355" spans="2:24" ht="14.25" customHeight="1"/>
    <row r="356" spans="2:24" ht="14.25" customHeight="1">
      <c r="B356" s="143" t="s">
        <v>1204</v>
      </c>
      <c r="J356" s="154"/>
      <c r="K356" s="158"/>
      <c r="L356" s="157"/>
      <c r="V356" s="159"/>
    </row>
    <row r="357" spans="2:24" ht="14.25" customHeight="1">
      <c r="B357" s="309" t="s">
        <v>1010</v>
      </c>
      <c r="C357" s="309"/>
      <c r="D357" s="251" t="s">
        <v>930</v>
      </c>
      <c r="E357" s="309"/>
      <c r="F357" s="309"/>
      <c r="G357" s="309" t="s">
        <v>1011</v>
      </c>
      <c r="H357" s="309"/>
      <c r="I357" s="309"/>
      <c r="J357" s="353" t="s">
        <v>931</v>
      </c>
      <c r="K357" s="353" t="s">
        <v>932</v>
      </c>
      <c r="L357" s="309" t="s">
        <v>1012</v>
      </c>
      <c r="M357" s="309"/>
      <c r="N357" s="309" t="s">
        <v>1013</v>
      </c>
      <c r="O357" s="309"/>
      <c r="P357" s="433" t="s">
        <v>1014</v>
      </c>
      <c r="Q357" s="309"/>
      <c r="R357" s="309"/>
      <c r="S357" s="309"/>
      <c r="T357" s="309"/>
      <c r="U357" s="309"/>
      <c r="V357" s="309"/>
      <c r="W357" s="309"/>
      <c r="X357" s="309"/>
    </row>
    <row r="358" spans="2:24" ht="14.25" customHeight="1">
      <c r="B358" s="460" t="s">
        <v>1179</v>
      </c>
      <c r="C358" s="459"/>
      <c r="D358" s="251" t="s">
        <v>1205</v>
      </c>
      <c r="E358" s="309"/>
      <c r="F358" s="309"/>
      <c r="G358" s="251" t="s">
        <v>1206</v>
      </c>
      <c r="H358" s="309"/>
      <c r="I358" s="309"/>
      <c r="J358" s="350" t="s">
        <v>1207</v>
      </c>
      <c r="K358" s="583">
        <v>4</v>
      </c>
      <c r="L358" s="562">
        <v>25800</v>
      </c>
      <c r="M358" s="562"/>
      <c r="N358" s="395">
        <f>K358*L358</f>
        <v>103200</v>
      </c>
      <c r="O358" s="395"/>
      <c r="P358" s="349"/>
      <c r="Q358" s="584"/>
      <c r="R358" s="482"/>
      <c r="S358" s="567"/>
      <c r="T358" s="349"/>
      <c r="U358" s="567"/>
      <c r="V358" s="349"/>
      <c r="W358" s="453"/>
      <c r="X358" s="454"/>
    </row>
    <row r="359" spans="2:24" ht="14.25" customHeight="1">
      <c r="B359" s="455"/>
      <c r="C359" s="455"/>
      <c r="D359" s="251" t="s">
        <v>1208</v>
      </c>
      <c r="E359" s="309"/>
      <c r="F359" s="309"/>
      <c r="G359" s="251" t="s">
        <v>1209</v>
      </c>
      <c r="H359" s="309"/>
      <c r="I359" s="309"/>
      <c r="J359" s="353" t="s">
        <v>1025</v>
      </c>
      <c r="K359" s="583">
        <v>2</v>
      </c>
      <c r="L359" s="562">
        <v>8800</v>
      </c>
      <c r="M359" s="562"/>
      <c r="N359" s="395">
        <f>K359*L359</f>
        <v>17600</v>
      </c>
      <c r="O359" s="425"/>
      <c r="P359" s="476"/>
      <c r="Q359" s="149"/>
      <c r="R359" s="147"/>
      <c r="S359" s="149"/>
      <c r="T359" s="150"/>
      <c r="U359" s="146"/>
      <c r="V359" s="148"/>
      <c r="W359" s="148"/>
      <c r="X359" s="457"/>
    </row>
    <row r="360" spans="2:24" ht="14.25" customHeight="1">
      <c r="B360" s="512"/>
      <c r="C360" s="455"/>
      <c r="D360" s="310" t="s">
        <v>1208</v>
      </c>
      <c r="E360" s="311"/>
      <c r="F360" s="311"/>
      <c r="G360" s="251" t="s">
        <v>1209</v>
      </c>
      <c r="H360" s="309"/>
      <c r="I360" s="309"/>
      <c r="J360" s="353" t="s">
        <v>1025</v>
      </c>
      <c r="K360" s="583">
        <v>2</v>
      </c>
      <c r="L360" s="562">
        <v>4450</v>
      </c>
      <c r="M360" s="562"/>
      <c r="N360" s="395">
        <f>K360*L360</f>
        <v>8900</v>
      </c>
      <c r="O360" s="425"/>
      <c r="P360" s="585"/>
      <c r="Q360" s="149"/>
      <c r="R360" s="147"/>
      <c r="S360" s="305"/>
      <c r="T360" s="149"/>
      <c r="U360" s="586"/>
      <c r="V360" s="148"/>
      <c r="W360" s="148"/>
      <c r="X360" s="457"/>
    </row>
    <row r="361" spans="2:24" ht="14.25" customHeight="1">
      <c r="B361" s="309"/>
      <c r="C361" s="309"/>
      <c r="D361" s="309" t="s">
        <v>606</v>
      </c>
      <c r="E361" s="309"/>
      <c r="F361" s="309"/>
      <c r="G361" s="309"/>
      <c r="H361" s="309"/>
      <c r="I361" s="309"/>
      <c r="J361" s="353"/>
      <c r="K361" s="582"/>
      <c r="L361" s="557"/>
      <c r="M361" s="557"/>
      <c r="N361" s="395">
        <f>SUM(N358:O360)</f>
        <v>129700</v>
      </c>
      <c r="O361" s="395"/>
      <c r="P361" s="478"/>
      <c r="Q361" s="478"/>
      <c r="R361" s="478"/>
      <c r="S361" s="478"/>
      <c r="T361" s="478"/>
      <c r="U361" s="478"/>
      <c r="V361" s="478"/>
      <c r="W361" s="478"/>
      <c r="X361" s="446"/>
    </row>
    <row r="362" spans="2:24" ht="14.25" customHeight="1"/>
    <row r="363" spans="2:24" ht="14.25" customHeight="1"/>
    <row r="364" spans="2:24" ht="14.25" customHeight="1">
      <c r="B364" s="143" t="s">
        <v>1210</v>
      </c>
      <c r="V364" s="159"/>
    </row>
    <row r="365" spans="2:24" ht="14.25" customHeight="1">
      <c r="B365" s="309" t="s">
        <v>1010</v>
      </c>
      <c r="C365" s="309"/>
      <c r="D365" s="251" t="s">
        <v>930</v>
      </c>
      <c r="E365" s="309"/>
      <c r="F365" s="309"/>
      <c r="G365" s="309" t="s">
        <v>1011</v>
      </c>
      <c r="H365" s="309"/>
      <c r="I365" s="309"/>
      <c r="J365" s="353" t="s">
        <v>931</v>
      </c>
      <c r="K365" s="353" t="s">
        <v>932</v>
      </c>
      <c r="L365" s="309" t="s">
        <v>1012</v>
      </c>
      <c r="M365" s="309"/>
      <c r="N365" s="309" t="s">
        <v>1013</v>
      </c>
      <c r="O365" s="309"/>
      <c r="P365" s="433" t="s">
        <v>1014</v>
      </c>
      <c r="Q365" s="309"/>
      <c r="R365" s="309"/>
      <c r="S365" s="309"/>
      <c r="T365" s="309"/>
      <c r="U365" s="309"/>
      <c r="V365" s="309"/>
      <c r="W365" s="309"/>
      <c r="X365" s="309"/>
    </row>
    <row r="366" spans="2:24" ht="14.25" customHeight="1">
      <c r="B366" s="459" t="s">
        <v>1015</v>
      </c>
      <c r="C366" s="459"/>
      <c r="D366" s="309" t="s">
        <v>1016</v>
      </c>
      <c r="E366" s="309"/>
      <c r="F366" s="309"/>
      <c r="G366" s="444" t="s">
        <v>1017</v>
      </c>
      <c r="H366" s="445">
        <v>1</v>
      </c>
      <c r="I366" s="446" t="s">
        <v>1018</v>
      </c>
      <c r="J366" s="353" t="s">
        <v>1019</v>
      </c>
      <c r="K366" s="394">
        <f>H366*R366</f>
        <v>13</v>
      </c>
      <c r="L366" s="395">
        <f>$L$234</f>
        <v>33710</v>
      </c>
      <c r="M366" s="395"/>
      <c r="N366" s="395">
        <f>K366*L366</f>
        <v>438230</v>
      </c>
      <c r="O366" s="395"/>
      <c r="P366" s="224" t="s">
        <v>1053</v>
      </c>
      <c r="Q366" s="224"/>
      <c r="R366" s="450">
        <f>'[1]日数 (1)'!D689</f>
        <v>13</v>
      </c>
      <c r="S366" s="453" t="s">
        <v>183</v>
      </c>
      <c r="T366" s="318" t="s">
        <v>1022</v>
      </c>
      <c r="U366" s="452" t="s">
        <v>1023</v>
      </c>
      <c r="V366" s="452"/>
      <c r="W366" s="453"/>
      <c r="X366" s="454"/>
    </row>
    <row r="367" spans="2:24" ht="14.25" customHeight="1">
      <c r="B367" s="455"/>
      <c r="C367" s="455"/>
      <c r="D367" s="309" t="s">
        <v>1024</v>
      </c>
      <c r="E367" s="309"/>
      <c r="F367" s="309"/>
      <c r="G367" s="444" t="s">
        <v>1017</v>
      </c>
      <c r="H367" s="445">
        <v>2</v>
      </c>
      <c r="I367" s="446" t="s">
        <v>1018</v>
      </c>
      <c r="J367" s="353" t="s">
        <v>1025</v>
      </c>
      <c r="K367" s="394">
        <f>H367*R366</f>
        <v>26</v>
      </c>
      <c r="L367" s="395">
        <f>$L$235</f>
        <v>28930</v>
      </c>
      <c r="M367" s="395"/>
      <c r="N367" s="395">
        <f>K367*L367</f>
        <v>752180</v>
      </c>
      <c r="O367" s="395"/>
      <c r="P367" s="148"/>
      <c r="Q367" s="148"/>
      <c r="R367" s="148"/>
      <c r="S367" s="148"/>
      <c r="T367" s="148"/>
      <c r="U367" s="148"/>
      <c r="V367" s="148"/>
      <c r="W367" s="148"/>
      <c r="X367" s="457"/>
    </row>
    <row r="368" spans="2:24" ht="14.25" customHeight="1">
      <c r="B368" s="459" t="s">
        <v>1027</v>
      </c>
      <c r="C368" s="459"/>
      <c r="D368" s="251" t="s">
        <v>1211</v>
      </c>
      <c r="E368" s="309"/>
      <c r="F368" s="309"/>
      <c r="G368" s="460" t="s">
        <v>1212</v>
      </c>
      <c r="H368" s="459"/>
      <c r="I368" s="459"/>
      <c r="J368" s="461" t="s">
        <v>551</v>
      </c>
      <c r="K368" s="473">
        <v>4</v>
      </c>
      <c r="L368" s="587">
        <v>246000</v>
      </c>
      <c r="M368" s="587"/>
      <c r="N368" s="525">
        <f>K368*L368</f>
        <v>984000</v>
      </c>
      <c r="O368" s="525"/>
      <c r="P368" s="507"/>
      <c r="Q368" s="149"/>
      <c r="R368" s="290"/>
      <c r="S368" s="305"/>
      <c r="T368" s="149"/>
      <c r="U368" s="588"/>
      <c r="V368" s="149"/>
      <c r="W368" s="150"/>
      <c r="X368" s="457"/>
    </row>
    <row r="369" spans="2:24" ht="14.25" customHeight="1">
      <c r="B369" s="455"/>
      <c r="C369" s="455"/>
      <c r="D369" s="487" t="s">
        <v>1058</v>
      </c>
      <c r="E369" s="488"/>
      <c r="F369" s="488"/>
      <c r="G369" s="508" t="str">
        <f>IF('[1]クレーン (1)'!D83&lt;=100,"ラフテレーンクレーン","トラッククレーン")</f>
        <v>ラフテレーンクレーン</v>
      </c>
      <c r="H369" s="509"/>
      <c r="I369" s="510"/>
      <c r="J369" s="461" t="s">
        <v>1025</v>
      </c>
      <c r="K369" s="473">
        <f>ROUND(R366,0)</f>
        <v>13</v>
      </c>
      <c r="L369" s="492">
        <f>VLOOKUP("全国平均",[1]クレーン単価!A1:O57,RANK('[1]クレーン (1)'!D83,[1]クレーン単価!B1:O1,1)+1,FALSE)</f>
        <v>74600</v>
      </c>
      <c r="M369" s="492"/>
      <c r="N369" s="492">
        <f>K369*L369</f>
        <v>969800</v>
      </c>
      <c r="O369" s="492"/>
      <c r="P369" s="148"/>
      <c r="Q369" s="148"/>
      <c r="R369" s="148"/>
      <c r="S369" s="148"/>
      <c r="T369" s="148"/>
      <c r="U369" s="148"/>
      <c r="V369" s="148"/>
      <c r="W369" s="148"/>
      <c r="X369" s="457"/>
    </row>
    <row r="370" spans="2:24" ht="14.25" customHeight="1">
      <c r="B370" s="455"/>
      <c r="C370" s="455"/>
      <c r="D370" s="458"/>
      <c r="E370" s="458"/>
      <c r="F370" s="458"/>
      <c r="G370" s="511" t="str">
        <f>'[1]クレーン (1)'!D83&amp;"ｔ吊り"</f>
        <v>35ｔ吊り</v>
      </c>
      <c r="H370" s="511"/>
      <c r="I370" s="511"/>
      <c r="J370" s="468"/>
      <c r="K370" s="469"/>
      <c r="L370" s="493"/>
      <c r="M370" s="493"/>
      <c r="N370" s="493"/>
      <c r="O370" s="493"/>
      <c r="P370" s="148"/>
      <c r="Q370" s="148"/>
      <c r="R370" s="148"/>
      <c r="S370" s="148"/>
      <c r="T370" s="148"/>
      <c r="U370" s="148"/>
      <c r="V370" s="148"/>
      <c r="W370" s="148"/>
      <c r="X370" s="457"/>
    </row>
    <row r="371" spans="2:24" ht="14.25" customHeight="1">
      <c r="B371" s="455"/>
      <c r="C371" s="455"/>
      <c r="D371" s="309" t="s">
        <v>1059</v>
      </c>
      <c r="E371" s="309"/>
      <c r="F371" s="309"/>
      <c r="G371" s="309"/>
      <c r="H371" s="309"/>
      <c r="I371" s="309"/>
      <c r="J371" s="353" t="s">
        <v>1025</v>
      </c>
      <c r="K371" s="394">
        <f>T371</f>
        <v>22</v>
      </c>
      <c r="L371" s="494">
        <v>9830</v>
      </c>
      <c r="M371" s="494"/>
      <c r="N371" s="395">
        <f>K371*L371</f>
        <v>216260</v>
      </c>
      <c r="O371" s="395"/>
      <c r="P371" s="151">
        <f>R366</f>
        <v>13</v>
      </c>
      <c r="Q371" s="149" t="s">
        <v>1213</v>
      </c>
      <c r="R371" s="150">
        <v>1.7</v>
      </c>
      <c r="S371" s="149" t="s">
        <v>1055</v>
      </c>
      <c r="T371" s="186">
        <f>ROUND(P371*R371,0)</f>
        <v>22</v>
      </c>
      <c r="U371" s="146" t="s">
        <v>1060</v>
      </c>
      <c r="V371" s="148"/>
      <c r="W371" s="148"/>
      <c r="X371" s="457"/>
    </row>
    <row r="372" spans="2:24" ht="14.25" customHeight="1">
      <c r="B372" s="309"/>
      <c r="C372" s="309"/>
      <c r="D372" s="309" t="s">
        <v>606</v>
      </c>
      <c r="E372" s="309"/>
      <c r="F372" s="309"/>
      <c r="G372" s="309"/>
      <c r="H372" s="309"/>
      <c r="I372" s="309"/>
      <c r="J372" s="353"/>
      <c r="K372" s="406"/>
      <c r="L372" s="396"/>
      <c r="M372" s="396"/>
      <c r="N372" s="395">
        <f>SUM(N366:O371)</f>
        <v>3360470</v>
      </c>
      <c r="O372" s="395"/>
      <c r="P372" s="478"/>
      <c r="Q372" s="478"/>
      <c r="R372" s="478"/>
      <c r="S372" s="478"/>
      <c r="T372" s="478"/>
      <c r="U372" s="478"/>
      <c r="V372" s="478"/>
      <c r="W372" s="478"/>
      <c r="X372" s="446"/>
    </row>
    <row r="373" spans="2:24" ht="14.25" customHeight="1"/>
    <row r="374" spans="2:24" ht="14.25" customHeight="1"/>
    <row r="375" spans="2:24" ht="14.25" customHeight="1">
      <c r="B375" s="143" t="s">
        <v>1214</v>
      </c>
      <c r="V375" s="159"/>
    </row>
    <row r="376" spans="2:24" ht="14.25" customHeight="1">
      <c r="B376" s="309" t="s">
        <v>1010</v>
      </c>
      <c r="C376" s="309"/>
      <c r="D376" s="251" t="s">
        <v>930</v>
      </c>
      <c r="E376" s="309"/>
      <c r="F376" s="309"/>
      <c r="G376" s="309" t="s">
        <v>1011</v>
      </c>
      <c r="H376" s="309"/>
      <c r="I376" s="309"/>
      <c r="J376" s="353" t="s">
        <v>931</v>
      </c>
      <c r="K376" s="353" t="s">
        <v>932</v>
      </c>
      <c r="L376" s="309" t="s">
        <v>1012</v>
      </c>
      <c r="M376" s="309"/>
      <c r="N376" s="309" t="s">
        <v>1013</v>
      </c>
      <c r="O376" s="309"/>
      <c r="P376" s="309" t="s">
        <v>1014</v>
      </c>
      <c r="Q376" s="309"/>
      <c r="R376" s="309"/>
      <c r="S376" s="309"/>
      <c r="T376" s="309"/>
      <c r="U376" s="309"/>
      <c r="V376" s="309"/>
      <c r="W376" s="309"/>
      <c r="X376" s="309"/>
    </row>
    <row r="377" spans="2:24" ht="14.25" customHeight="1">
      <c r="B377" s="459" t="s">
        <v>1015</v>
      </c>
      <c r="C377" s="459"/>
      <c r="D377" s="309" t="s">
        <v>1016</v>
      </c>
      <c r="E377" s="309"/>
      <c r="F377" s="309"/>
      <c r="G377" s="444" t="s">
        <v>1017</v>
      </c>
      <c r="H377" s="445">
        <v>1</v>
      </c>
      <c r="I377" s="446" t="s">
        <v>1018</v>
      </c>
      <c r="J377" s="353" t="s">
        <v>1019</v>
      </c>
      <c r="K377" s="394">
        <f>H377*R377</f>
        <v>1.7</v>
      </c>
      <c r="L377" s="395">
        <f>$L$234</f>
        <v>33710</v>
      </c>
      <c r="M377" s="395"/>
      <c r="N377" s="395">
        <f t="shared" ref="N377:N383" si="5">K377*L377</f>
        <v>57307</v>
      </c>
      <c r="O377" s="395"/>
      <c r="P377" s="224" t="s">
        <v>1053</v>
      </c>
      <c r="Q377" s="224"/>
      <c r="R377" s="450">
        <f>ROUND('[1]日数 (1)'!D716/'[1]日数 (1)'!F716,1)</f>
        <v>1.7</v>
      </c>
      <c r="S377" s="453" t="s">
        <v>183</v>
      </c>
      <c r="T377" s="318" t="s">
        <v>1022</v>
      </c>
      <c r="U377" s="452" t="s">
        <v>1023</v>
      </c>
      <c r="V377" s="452"/>
      <c r="W377" s="453"/>
      <c r="X377" s="454"/>
    </row>
    <row r="378" spans="2:24" ht="14.25" customHeight="1">
      <c r="B378" s="455"/>
      <c r="C378" s="455"/>
      <c r="D378" s="309" t="s">
        <v>1024</v>
      </c>
      <c r="E378" s="309"/>
      <c r="F378" s="309"/>
      <c r="G378" s="444" t="s">
        <v>1017</v>
      </c>
      <c r="H378" s="445">
        <v>3</v>
      </c>
      <c r="I378" s="446" t="s">
        <v>1018</v>
      </c>
      <c r="J378" s="353" t="s">
        <v>1025</v>
      </c>
      <c r="K378" s="394">
        <f>H378*R377</f>
        <v>5.0999999999999996</v>
      </c>
      <c r="L378" s="395">
        <f>$L$235</f>
        <v>28930</v>
      </c>
      <c r="M378" s="395"/>
      <c r="N378" s="395">
        <f t="shared" si="5"/>
        <v>147543</v>
      </c>
      <c r="O378" s="395"/>
      <c r="P378" s="146" t="s">
        <v>1215</v>
      </c>
      <c r="Q378" s="148"/>
      <c r="R378" s="148"/>
      <c r="S378" s="148"/>
      <c r="T378" s="148"/>
      <c r="U378" s="148"/>
      <c r="V378" s="148"/>
      <c r="W378" s="148"/>
      <c r="X378" s="457"/>
    </row>
    <row r="379" spans="2:24" ht="14.25" customHeight="1">
      <c r="B379" s="455"/>
      <c r="C379" s="455"/>
      <c r="D379" s="309" t="s">
        <v>1026</v>
      </c>
      <c r="E379" s="309"/>
      <c r="F379" s="309"/>
      <c r="G379" s="444" t="s">
        <v>1017</v>
      </c>
      <c r="H379" s="445">
        <v>1</v>
      </c>
      <c r="I379" s="446" t="s">
        <v>1018</v>
      </c>
      <c r="J379" s="353" t="s">
        <v>1025</v>
      </c>
      <c r="K379" s="394">
        <f>H379*R377</f>
        <v>1.7</v>
      </c>
      <c r="L379" s="395">
        <f>$L$236</f>
        <v>18800</v>
      </c>
      <c r="M379" s="395"/>
      <c r="N379" s="395">
        <f t="shared" si="5"/>
        <v>31960</v>
      </c>
      <c r="O379" s="395"/>
      <c r="P379" s="456"/>
      <c r="Q379" s="148"/>
      <c r="R379" s="148"/>
      <c r="S379" s="148"/>
      <c r="T379" s="148"/>
      <c r="U379" s="148"/>
      <c r="V379" s="148"/>
      <c r="W379" s="148"/>
      <c r="X379" s="457"/>
    </row>
    <row r="380" spans="2:24" ht="14.25" customHeight="1">
      <c r="B380" s="455"/>
      <c r="C380" s="455"/>
      <c r="D380" s="309" t="s">
        <v>1016</v>
      </c>
      <c r="E380" s="309"/>
      <c r="F380" s="309"/>
      <c r="G380" s="444" t="s">
        <v>1017</v>
      </c>
      <c r="H380" s="445">
        <v>1</v>
      </c>
      <c r="I380" s="446" t="s">
        <v>1018</v>
      </c>
      <c r="J380" s="353" t="s">
        <v>1019</v>
      </c>
      <c r="K380" s="394">
        <f>H380*R380</f>
        <v>1.8</v>
      </c>
      <c r="L380" s="395">
        <f>$L$234</f>
        <v>33710</v>
      </c>
      <c r="M380" s="395"/>
      <c r="N380" s="395">
        <f t="shared" si="5"/>
        <v>60678</v>
      </c>
      <c r="O380" s="395"/>
      <c r="P380" s="402" t="s">
        <v>1053</v>
      </c>
      <c r="Q380" s="304"/>
      <c r="R380" s="151">
        <f>ROUND('[1]日数 (1)'!H716/'[1]日数 (1)'!J716,1)</f>
        <v>1.8</v>
      </c>
      <c r="S380" s="148" t="s">
        <v>183</v>
      </c>
      <c r="T380" s="187"/>
      <c r="U380" s="144"/>
      <c r="V380" s="144"/>
      <c r="W380" s="148"/>
      <c r="X380" s="457"/>
    </row>
    <row r="381" spans="2:24" ht="14.25" customHeight="1">
      <c r="B381" s="455"/>
      <c r="C381" s="455"/>
      <c r="D381" s="309" t="s">
        <v>1024</v>
      </c>
      <c r="E381" s="309"/>
      <c r="F381" s="309"/>
      <c r="G381" s="444" t="s">
        <v>1017</v>
      </c>
      <c r="H381" s="445">
        <v>6</v>
      </c>
      <c r="I381" s="446" t="s">
        <v>1018</v>
      </c>
      <c r="J381" s="353" t="s">
        <v>1025</v>
      </c>
      <c r="K381" s="394">
        <f>H381*R380</f>
        <v>10.8</v>
      </c>
      <c r="L381" s="395">
        <f>$L$235</f>
        <v>28930</v>
      </c>
      <c r="M381" s="395"/>
      <c r="N381" s="395">
        <f t="shared" si="5"/>
        <v>312444</v>
      </c>
      <c r="O381" s="395"/>
      <c r="P381" s="146" t="s">
        <v>1216</v>
      </c>
      <c r="Q381" s="148"/>
      <c r="R381" s="148"/>
      <c r="S381" s="148"/>
      <c r="T381" s="148"/>
      <c r="U381" s="148"/>
      <c r="V381" s="148"/>
      <c r="W381" s="148"/>
      <c r="X381" s="457"/>
    </row>
    <row r="382" spans="2:24" ht="14.25" customHeight="1">
      <c r="B382" s="458"/>
      <c r="C382" s="458"/>
      <c r="D382" s="309" t="s">
        <v>1026</v>
      </c>
      <c r="E382" s="309"/>
      <c r="F382" s="309"/>
      <c r="G382" s="444" t="s">
        <v>1017</v>
      </c>
      <c r="H382" s="445">
        <v>1</v>
      </c>
      <c r="I382" s="446" t="s">
        <v>1018</v>
      </c>
      <c r="J382" s="353" t="s">
        <v>1025</v>
      </c>
      <c r="K382" s="394">
        <f>H382*R380</f>
        <v>1.8</v>
      </c>
      <c r="L382" s="395">
        <f>$L$236</f>
        <v>18800</v>
      </c>
      <c r="M382" s="395"/>
      <c r="N382" s="395">
        <f t="shared" si="5"/>
        <v>33840</v>
      </c>
      <c r="O382" s="395"/>
      <c r="P382" s="148"/>
      <c r="Q382" s="148"/>
      <c r="R382" s="148"/>
      <c r="S382" s="148"/>
      <c r="T382" s="148"/>
      <c r="U382" s="148"/>
      <c r="V382" s="148"/>
      <c r="W382" s="148"/>
      <c r="X382" s="457"/>
    </row>
    <row r="383" spans="2:24" ht="14.25" customHeight="1">
      <c r="B383" s="459" t="s">
        <v>1027</v>
      </c>
      <c r="C383" s="459"/>
      <c r="D383" s="487" t="s">
        <v>1109</v>
      </c>
      <c r="E383" s="488"/>
      <c r="F383" s="488"/>
      <c r="G383" s="392" t="s">
        <v>1046</v>
      </c>
      <c r="H383" s="449"/>
      <c r="I383" s="393"/>
      <c r="J383" s="461" t="s">
        <v>183</v>
      </c>
      <c r="K383" s="473">
        <f>ROUND(R377,0)</f>
        <v>2</v>
      </c>
      <c r="L383" s="492">
        <f>VLOOKUP("全国平均",[1]クレーン単価!A1:O57,4,FALSE)</f>
        <v>49000</v>
      </c>
      <c r="M383" s="492"/>
      <c r="N383" s="492">
        <f t="shared" si="5"/>
        <v>98000</v>
      </c>
      <c r="O383" s="492"/>
      <c r="P383" s="148"/>
      <c r="Q383" s="148"/>
      <c r="R383" s="148"/>
      <c r="S383" s="148"/>
      <c r="T383" s="148"/>
      <c r="U383" s="148"/>
      <c r="V383" s="148"/>
      <c r="W383" s="148"/>
      <c r="X383" s="457"/>
    </row>
    <row r="384" spans="2:24" ht="14.25" customHeight="1">
      <c r="B384" s="455"/>
      <c r="C384" s="455"/>
      <c r="D384" s="458"/>
      <c r="E384" s="458"/>
      <c r="F384" s="458"/>
      <c r="G384" s="458" t="s">
        <v>1047</v>
      </c>
      <c r="H384" s="458"/>
      <c r="I384" s="458"/>
      <c r="J384" s="468"/>
      <c r="K384" s="469"/>
      <c r="L384" s="493"/>
      <c r="M384" s="493"/>
      <c r="N384" s="493"/>
      <c r="O384" s="493"/>
      <c r="P384" s="148"/>
      <c r="Q384" s="148"/>
      <c r="R384" s="148"/>
      <c r="S384" s="148"/>
      <c r="T384" s="148"/>
      <c r="U384" s="148"/>
      <c r="V384" s="148"/>
      <c r="W384" s="148"/>
      <c r="X384" s="457"/>
    </row>
    <row r="385" spans="2:24" ht="14.25" customHeight="1">
      <c r="B385" s="455"/>
      <c r="C385" s="455"/>
      <c r="D385" s="309" t="s">
        <v>1059</v>
      </c>
      <c r="E385" s="309"/>
      <c r="F385" s="309"/>
      <c r="G385" s="309"/>
      <c r="H385" s="309"/>
      <c r="I385" s="309"/>
      <c r="J385" s="353" t="s">
        <v>1025</v>
      </c>
      <c r="K385" s="394">
        <f>T385</f>
        <v>6</v>
      </c>
      <c r="L385" s="494">
        <v>9830</v>
      </c>
      <c r="M385" s="494"/>
      <c r="N385" s="395">
        <f>K385*L385</f>
        <v>58980</v>
      </c>
      <c r="O385" s="395"/>
      <c r="P385" s="151">
        <f>Cel工事_沓据付工_所用日数_トラッククレーン+Cel工事_沓据付工_所用日数_ケーブルクレーン</f>
        <v>3.5</v>
      </c>
      <c r="Q385" s="149" t="s">
        <v>1034</v>
      </c>
      <c r="R385" s="150">
        <v>1.7</v>
      </c>
      <c r="S385" s="149" t="s">
        <v>1055</v>
      </c>
      <c r="T385" s="186">
        <f>ROUND(P385*R385,0)</f>
        <v>6</v>
      </c>
      <c r="U385" s="146" t="s">
        <v>1060</v>
      </c>
      <c r="V385" s="148"/>
      <c r="W385" s="148"/>
      <c r="X385" s="457"/>
    </row>
    <row r="386" spans="2:24" ht="14.25" customHeight="1">
      <c r="B386" s="458"/>
      <c r="C386" s="458"/>
      <c r="D386" s="309" t="s">
        <v>1061</v>
      </c>
      <c r="E386" s="309"/>
      <c r="F386" s="309"/>
      <c r="G386" s="251" t="s">
        <v>1067</v>
      </c>
      <c r="H386" s="309"/>
      <c r="I386" s="309"/>
      <c r="J386" s="353" t="s">
        <v>1025</v>
      </c>
      <c r="K386" s="394">
        <f>T385</f>
        <v>6</v>
      </c>
      <c r="L386" s="494">
        <v>6300</v>
      </c>
      <c r="M386" s="494"/>
      <c r="N386" s="395">
        <f>K386*L386</f>
        <v>37800</v>
      </c>
      <c r="O386" s="395"/>
      <c r="P386" s="148"/>
      <c r="Q386" s="148"/>
      <c r="R386" s="148"/>
      <c r="S386" s="148"/>
      <c r="T386" s="148"/>
      <c r="U386" s="148"/>
      <c r="V386" s="148"/>
      <c r="W386" s="148"/>
      <c r="X386" s="457"/>
    </row>
    <row r="387" spans="2:24" ht="14.25" customHeight="1">
      <c r="B387" s="309" t="s">
        <v>1217</v>
      </c>
      <c r="C387" s="309"/>
      <c r="D387" s="251" t="s">
        <v>1218</v>
      </c>
      <c r="E387" s="309"/>
      <c r="F387" s="309"/>
      <c r="G387" s="309"/>
      <c r="H387" s="309"/>
      <c r="I387" s="309"/>
      <c r="J387" s="353" t="s">
        <v>1036</v>
      </c>
      <c r="K387" s="406">
        <v>1</v>
      </c>
      <c r="L387" s="396"/>
      <c r="M387" s="396"/>
      <c r="N387" s="395">
        <f>W387</f>
        <v>93750</v>
      </c>
      <c r="O387" s="395"/>
      <c r="P387" s="233">
        <f>'[1]基本 (1)'!J32</f>
        <v>8</v>
      </c>
      <c r="Q387" s="149" t="s">
        <v>1219</v>
      </c>
      <c r="R387" s="500">
        <v>0.05</v>
      </c>
      <c r="S387" s="149" t="s">
        <v>1220</v>
      </c>
      <c r="T387" s="515">
        <v>234375</v>
      </c>
      <c r="U387" s="149" t="s">
        <v>1221</v>
      </c>
      <c r="V387" s="154" t="s">
        <v>1055</v>
      </c>
      <c r="W387" s="491">
        <f>ROUND(P387*R387*T387,0)</f>
        <v>93750</v>
      </c>
      <c r="X387" s="506" t="s">
        <v>1222</v>
      </c>
    </row>
    <row r="388" spans="2:24" ht="14.25" customHeight="1">
      <c r="B388" s="309" t="s">
        <v>1035</v>
      </c>
      <c r="C388" s="309"/>
      <c r="D388" s="309"/>
      <c r="E388" s="309"/>
      <c r="F388" s="309"/>
      <c r="G388" s="309"/>
      <c r="H388" s="309"/>
      <c r="I388" s="309"/>
      <c r="J388" s="353" t="s">
        <v>1025</v>
      </c>
      <c r="K388" s="406">
        <v>1</v>
      </c>
      <c r="L388" s="396"/>
      <c r="M388" s="396"/>
      <c r="N388" s="395">
        <f>(N377+N378+N379+N380+N381+N382)*(R388/100)</f>
        <v>70814.92</v>
      </c>
      <c r="O388" s="395"/>
      <c r="P388" s="150" t="s">
        <v>1015</v>
      </c>
      <c r="Q388" s="150" t="s">
        <v>32</v>
      </c>
      <c r="R388" s="150">
        <v>11</v>
      </c>
      <c r="S388" s="148" t="s">
        <v>1038</v>
      </c>
      <c r="T388" s="148"/>
      <c r="U388" s="148"/>
      <c r="V388" s="148"/>
      <c r="W388" s="148"/>
      <c r="X388" s="457"/>
    </row>
    <row r="389" spans="2:24" ht="14.25" customHeight="1">
      <c r="B389" s="309"/>
      <c r="C389" s="309"/>
      <c r="D389" s="309" t="s">
        <v>606</v>
      </c>
      <c r="E389" s="309"/>
      <c r="F389" s="309"/>
      <c r="G389" s="309"/>
      <c r="H389" s="309"/>
      <c r="I389" s="309"/>
      <c r="J389" s="353"/>
      <c r="K389" s="394">
        <f>'[1]日数 (1)'!I694</f>
        <v>4</v>
      </c>
      <c r="L389" s="395">
        <f>INT(Cel工事_沓据付工_金額計 / Cel工事_沓据付工_数量計)</f>
        <v>250779</v>
      </c>
      <c r="M389" s="396"/>
      <c r="N389" s="395">
        <f>SUM(N377:O388)</f>
        <v>1003116.92</v>
      </c>
      <c r="O389" s="395"/>
      <c r="P389" s="478"/>
      <c r="Q389" s="478"/>
      <c r="R389" s="478"/>
      <c r="S389" s="478"/>
      <c r="T389" s="478"/>
      <c r="U389" s="478"/>
      <c r="V389" s="478"/>
      <c r="W389" s="478"/>
      <c r="X389" s="446"/>
    </row>
    <row r="390" spans="2:24" ht="14.25" customHeight="1"/>
    <row r="391" spans="2:24" ht="14.25" customHeight="1"/>
    <row r="392" spans="2:24" ht="14.25" customHeight="1">
      <c r="B392" s="143" t="s">
        <v>1223</v>
      </c>
      <c r="V392" s="159"/>
    </row>
    <row r="393" spans="2:24" ht="14.25" customHeight="1">
      <c r="B393" s="309" t="s">
        <v>1010</v>
      </c>
      <c r="C393" s="309"/>
      <c r="D393" s="251" t="s">
        <v>930</v>
      </c>
      <c r="E393" s="309"/>
      <c r="F393" s="309"/>
      <c r="G393" s="309" t="s">
        <v>1011</v>
      </c>
      <c r="H393" s="309"/>
      <c r="I393" s="309"/>
      <c r="J393" s="353" t="s">
        <v>931</v>
      </c>
      <c r="K393" s="353" t="s">
        <v>932</v>
      </c>
      <c r="L393" s="309" t="s">
        <v>1012</v>
      </c>
      <c r="M393" s="309"/>
      <c r="N393" s="309" t="s">
        <v>1013</v>
      </c>
      <c r="O393" s="309"/>
      <c r="P393" s="309" t="s">
        <v>1014</v>
      </c>
      <c r="Q393" s="309"/>
      <c r="R393" s="309"/>
      <c r="S393" s="309"/>
      <c r="T393" s="309"/>
      <c r="U393" s="309"/>
      <c r="V393" s="309"/>
      <c r="W393" s="309"/>
      <c r="X393" s="309"/>
    </row>
    <row r="394" spans="2:24" ht="14.25" customHeight="1">
      <c r="B394" s="459" t="s">
        <v>1015</v>
      </c>
      <c r="C394" s="459"/>
      <c r="D394" s="309" t="s">
        <v>1016</v>
      </c>
      <c r="E394" s="309"/>
      <c r="F394" s="309"/>
      <c r="G394" s="444" t="s">
        <v>1017</v>
      </c>
      <c r="H394" s="445">
        <v>1</v>
      </c>
      <c r="I394" s="446" t="s">
        <v>1018</v>
      </c>
      <c r="J394" s="353" t="s">
        <v>1019</v>
      </c>
      <c r="K394" s="394">
        <f>H394*R394</f>
        <v>12.7</v>
      </c>
      <c r="L394" s="395">
        <f>$L$234</f>
        <v>33710</v>
      </c>
      <c r="M394" s="395"/>
      <c r="N394" s="395">
        <f>K394*L394</f>
        <v>428117</v>
      </c>
      <c r="O394" s="395"/>
      <c r="P394" s="224" t="s">
        <v>1053</v>
      </c>
      <c r="Q394" s="224"/>
      <c r="R394" s="450">
        <f>'[1]日数 (1)'!D737</f>
        <v>12.7</v>
      </c>
      <c r="S394" s="453" t="s">
        <v>183</v>
      </c>
      <c r="T394" s="318" t="s">
        <v>1022</v>
      </c>
      <c r="U394" s="452" t="s">
        <v>1023</v>
      </c>
      <c r="V394" s="452"/>
      <c r="W394" s="453"/>
      <c r="X394" s="454"/>
    </row>
    <row r="395" spans="2:24" ht="14.25" customHeight="1">
      <c r="B395" s="455"/>
      <c r="C395" s="455"/>
      <c r="D395" s="309" t="s">
        <v>1024</v>
      </c>
      <c r="E395" s="309"/>
      <c r="F395" s="309"/>
      <c r="G395" s="444" t="s">
        <v>1017</v>
      </c>
      <c r="H395" s="445">
        <v>5</v>
      </c>
      <c r="I395" s="446" t="s">
        <v>1018</v>
      </c>
      <c r="J395" s="353" t="s">
        <v>1025</v>
      </c>
      <c r="K395" s="394">
        <f>H395*R394</f>
        <v>63.5</v>
      </c>
      <c r="L395" s="395">
        <f>$L$235</f>
        <v>28930</v>
      </c>
      <c r="M395" s="395"/>
      <c r="N395" s="395">
        <f>K395*L395</f>
        <v>1837055</v>
      </c>
      <c r="O395" s="395"/>
      <c r="P395" s="148"/>
      <c r="Q395" s="148"/>
      <c r="R395" s="148"/>
      <c r="S395" s="148"/>
      <c r="T395" s="148"/>
      <c r="U395" s="148"/>
      <c r="V395" s="148"/>
      <c r="W395" s="148"/>
      <c r="X395" s="457"/>
    </row>
    <row r="396" spans="2:24" ht="14.25" customHeight="1">
      <c r="B396" s="458"/>
      <c r="C396" s="458"/>
      <c r="D396" s="309" t="s">
        <v>1026</v>
      </c>
      <c r="E396" s="309"/>
      <c r="F396" s="309"/>
      <c r="G396" s="444" t="s">
        <v>1017</v>
      </c>
      <c r="H396" s="445"/>
      <c r="I396" s="446" t="s">
        <v>1018</v>
      </c>
      <c r="J396" s="353" t="s">
        <v>1025</v>
      </c>
      <c r="K396" s="394">
        <f>H396*R394</f>
        <v>0</v>
      </c>
      <c r="L396" s="395">
        <f>$L$236</f>
        <v>18800</v>
      </c>
      <c r="M396" s="395"/>
      <c r="N396" s="395">
        <f>K396*L396</f>
        <v>0</v>
      </c>
      <c r="O396" s="395"/>
      <c r="P396" s="148"/>
      <c r="Q396" s="148"/>
      <c r="R396" s="148"/>
      <c r="S396" s="148"/>
      <c r="T396" s="148"/>
      <c r="U396" s="148"/>
      <c r="V396" s="148"/>
      <c r="W396" s="148"/>
      <c r="X396" s="457"/>
    </row>
    <row r="397" spans="2:24" ht="14.25" customHeight="1">
      <c r="B397" s="459" t="s">
        <v>1027</v>
      </c>
      <c r="C397" s="459"/>
      <c r="D397" s="309" t="s">
        <v>1059</v>
      </c>
      <c r="E397" s="309"/>
      <c r="F397" s="309"/>
      <c r="G397" s="309"/>
      <c r="H397" s="309"/>
      <c r="I397" s="309"/>
      <c r="J397" s="353" t="s">
        <v>1025</v>
      </c>
      <c r="K397" s="394">
        <f>T397</f>
        <v>22</v>
      </c>
      <c r="L397" s="494">
        <v>9830</v>
      </c>
      <c r="M397" s="494"/>
      <c r="N397" s="395">
        <f>K397*L397</f>
        <v>216260</v>
      </c>
      <c r="O397" s="395"/>
      <c r="P397" s="151">
        <f>R394</f>
        <v>12.7</v>
      </c>
      <c r="Q397" s="149" t="s">
        <v>1224</v>
      </c>
      <c r="R397" s="150">
        <v>1.7</v>
      </c>
      <c r="S397" s="149" t="s">
        <v>1055</v>
      </c>
      <c r="T397" s="186">
        <f>ROUND(P397*R397,0)</f>
        <v>22</v>
      </c>
      <c r="U397" s="146" t="s">
        <v>1060</v>
      </c>
      <c r="V397" s="148"/>
      <c r="W397" s="148"/>
      <c r="X397" s="457"/>
    </row>
    <row r="398" spans="2:24" ht="14.25" customHeight="1">
      <c r="B398" s="458"/>
      <c r="C398" s="458"/>
      <c r="D398" s="309" t="s">
        <v>1061</v>
      </c>
      <c r="E398" s="309"/>
      <c r="F398" s="309"/>
      <c r="G398" s="251" t="s">
        <v>1062</v>
      </c>
      <c r="H398" s="309"/>
      <c r="I398" s="309"/>
      <c r="J398" s="353" t="s">
        <v>1025</v>
      </c>
      <c r="K398" s="394">
        <f>T397</f>
        <v>22</v>
      </c>
      <c r="L398" s="494">
        <v>6300</v>
      </c>
      <c r="M398" s="494"/>
      <c r="N398" s="395">
        <f>K398*L398</f>
        <v>138600</v>
      </c>
      <c r="O398" s="395"/>
      <c r="P398" s="148"/>
      <c r="Q398" s="148"/>
      <c r="R398" s="148"/>
      <c r="S398" s="148"/>
      <c r="T398" s="148"/>
      <c r="U398" s="148"/>
      <c r="V398" s="148"/>
      <c r="W398" s="148"/>
      <c r="X398" s="457"/>
    </row>
    <row r="399" spans="2:24" ht="14.25" customHeight="1">
      <c r="B399" s="309" t="s">
        <v>1035</v>
      </c>
      <c r="C399" s="309"/>
      <c r="D399" s="309"/>
      <c r="E399" s="309"/>
      <c r="F399" s="309"/>
      <c r="G399" s="309"/>
      <c r="H399" s="309"/>
      <c r="I399" s="309"/>
      <c r="J399" s="353" t="s">
        <v>1025</v>
      </c>
      <c r="K399" s="406">
        <v>1</v>
      </c>
      <c r="L399" s="396"/>
      <c r="M399" s="396"/>
      <c r="N399" s="395">
        <f>(N394+N395+N396)*(R399/100)</f>
        <v>90606.88</v>
      </c>
      <c r="O399" s="395"/>
      <c r="P399" s="150" t="s">
        <v>1015</v>
      </c>
      <c r="Q399" s="150" t="s">
        <v>32</v>
      </c>
      <c r="R399" s="150">
        <v>4</v>
      </c>
      <c r="S399" s="148" t="s">
        <v>1038</v>
      </c>
      <c r="T399" s="148"/>
      <c r="U399" s="148"/>
      <c r="V399" s="148"/>
      <c r="W399" s="148"/>
      <c r="X399" s="457"/>
    </row>
    <row r="400" spans="2:24" ht="14.25" customHeight="1">
      <c r="B400" s="309"/>
      <c r="C400" s="309"/>
      <c r="D400" s="309" t="s">
        <v>606</v>
      </c>
      <c r="E400" s="309"/>
      <c r="F400" s="309"/>
      <c r="G400" s="309"/>
      <c r="H400" s="309"/>
      <c r="I400" s="309"/>
      <c r="J400" s="353"/>
      <c r="K400" s="394">
        <f>'[1]日数 (1)'!G723</f>
        <v>21240</v>
      </c>
      <c r="L400" s="395">
        <f>INT(Cel工事_高力ボルト本締工_金額計 / Cel工事_高力ボルト本締工_数量計)</f>
        <v>127</v>
      </c>
      <c r="M400" s="396"/>
      <c r="N400" s="395">
        <f>SUM(N394:O399)</f>
        <v>2710638.88</v>
      </c>
      <c r="O400" s="395"/>
      <c r="P400" s="478"/>
      <c r="Q400" s="478"/>
      <c r="R400" s="478"/>
      <c r="S400" s="478"/>
      <c r="T400" s="478"/>
      <c r="U400" s="478"/>
      <c r="V400" s="478"/>
      <c r="W400" s="478"/>
      <c r="X400" s="446"/>
    </row>
    <row r="401" spans="2:24" ht="14.25" customHeight="1"/>
    <row r="402" spans="2:24" ht="14.25" customHeight="1"/>
    <row r="403" spans="2:24" ht="14.25" customHeight="1">
      <c r="B403" s="143" t="s">
        <v>1225</v>
      </c>
      <c r="V403" s="159"/>
    </row>
    <row r="404" spans="2:24" ht="14.25" customHeight="1">
      <c r="B404" s="309" t="s">
        <v>1010</v>
      </c>
      <c r="C404" s="309"/>
      <c r="D404" s="251" t="s">
        <v>930</v>
      </c>
      <c r="E404" s="309"/>
      <c r="F404" s="309"/>
      <c r="G404" s="309" t="s">
        <v>1011</v>
      </c>
      <c r="H404" s="309"/>
      <c r="I404" s="309"/>
      <c r="J404" s="353" t="s">
        <v>931</v>
      </c>
      <c r="K404" s="353" t="s">
        <v>932</v>
      </c>
      <c r="L404" s="309" t="s">
        <v>1012</v>
      </c>
      <c r="M404" s="309"/>
      <c r="N404" s="309" t="s">
        <v>1013</v>
      </c>
      <c r="O404" s="309"/>
      <c r="P404" s="309" t="s">
        <v>1014</v>
      </c>
      <c r="Q404" s="309"/>
      <c r="R404" s="309"/>
      <c r="S404" s="309"/>
      <c r="T404" s="309"/>
      <c r="U404" s="309"/>
      <c r="V404" s="309"/>
      <c r="W404" s="309"/>
      <c r="X404" s="309"/>
    </row>
    <row r="405" spans="2:24" ht="14.25" customHeight="1">
      <c r="B405" s="459" t="s">
        <v>1015</v>
      </c>
      <c r="C405" s="459"/>
      <c r="D405" s="309" t="s">
        <v>1016</v>
      </c>
      <c r="E405" s="309"/>
      <c r="F405" s="309"/>
      <c r="G405" s="444" t="s">
        <v>1017</v>
      </c>
      <c r="H405" s="445">
        <v>1</v>
      </c>
      <c r="I405" s="446" t="s">
        <v>1018</v>
      </c>
      <c r="J405" s="353" t="s">
        <v>1019</v>
      </c>
      <c r="K405" s="394">
        <f>H405*R405</f>
        <v>1</v>
      </c>
      <c r="L405" s="395">
        <f>$L$234</f>
        <v>33710</v>
      </c>
      <c r="M405" s="395"/>
      <c r="N405" s="395">
        <f>K405*L405</f>
        <v>33710</v>
      </c>
      <c r="O405" s="395"/>
      <c r="P405" s="224" t="s">
        <v>1053</v>
      </c>
      <c r="Q405" s="224"/>
      <c r="R405" s="450">
        <f>'[1]日数 (1)'!D752</f>
        <v>1</v>
      </c>
      <c r="S405" s="453" t="s">
        <v>183</v>
      </c>
      <c r="T405" s="318" t="s">
        <v>1022</v>
      </c>
      <c r="U405" s="452" t="s">
        <v>1023</v>
      </c>
      <c r="V405" s="452"/>
      <c r="W405" s="453"/>
      <c r="X405" s="454"/>
    </row>
    <row r="406" spans="2:24" ht="14.25" customHeight="1">
      <c r="B406" s="455"/>
      <c r="C406" s="455"/>
      <c r="D406" s="309" t="s">
        <v>1024</v>
      </c>
      <c r="E406" s="309"/>
      <c r="F406" s="309"/>
      <c r="G406" s="444" t="s">
        <v>1017</v>
      </c>
      <c r="H406" s="445">
        <v>3</v>
      </c>
      <c r="I406" s="446" t="s">
        <v>1018</v>
      </c>
      <c r="J406" s="353" t="s">
        <v>1025</v>
      </c>
      <c r="K406" s="394">
        <f>H406*R405</f>
        <v>3</v>
      </c>
      <c r="L406" s="395">
        <f>$L$235</f>
        <v>28930</v>
      </c>
      <c r="M406" s="395"/>
      <c r="N406" s="395">
        <f>K406*L406</f>
        <v>86790</v>
      </c>
      <c r="O406" s="395"/>
      <c r="P406" s="148"/>
      <c r="Q406" s="148"/>
      <c r="R406" s="148"/>
      <c r="S406" s="148"/>
      <c r="T406" s="148"/>
      <c r="U406" s="148"/>
      <c r="V406" s="148"/>
      <c r="W406" s="148"/>
      <c r="X406" s="457"/>
    </row>
    <row r="407" spans="2:24" ht="14.25" customHeight="1">
      <c r="B407" s="458"/>
      <c r="C407" s="458"/>
      <c r="D407" s="309" t="s">
        <v>1026</v>
      </c>
      <c r="E407" s="309"/>
      <c r="F407" s="309"/>
      <c r="G407" s="444" t="s">
        <v>1017</v>
      </c>
      <c r="H407" s="445"/>
      <c r="I407" s="446" t="s">
        <v>1018</v>
      </c>
      <c r="J407" s="353" t="s">
        <v>1025</v>
      </c>
      <c r="K407" s="394">
        <f>H407*R405</f>
        <v>0</v>
      </c>
      <c r="L407" s="395">
        <f>$L$236</f>
        <v>18800</v>
      </c>
      <c r="M407" s="395"/>
      <c r="N407" s="395">
        <f>K407*L407</f>
        <v>0</v>
      </c>
      <c r="O407" s="395"/>
      <c r="P407" s="148"/>
      <c r="Q407" s="148"/>
      <c r="R407" s="148"/>
      <c r="S407" s="148"/>
      <c r="T407" s="148"/>
      <c r="U407" s="148"/>
      <c r="V407" s="148"/>
      <c r="W407" s="148"/>
      <c r="X407" s="457"/>
    </row>
    <row r="408" spans="2:24" ht="14.25" customHeight="1">
      <c r="B408" s="459" t="s">
        <v>1027</v>
      </c>
      <c r="C408" s="459"/>
      <c r="D408" s="487" t="s">
        <v>1058</v>
      </c>
      <c r="E408" s="488"/>
      <c r="F408" s="488"/>
      <c r="G408" s="392" t="s">
        <v>1226</v>
      </c>
      <c r="H408" s="449"/>
      <c r="I408" s="393"/>
      <c r="J408" s="461" t="s">
        <v>1025</v>
      </c>
      <c r="K408" s="473">
        <f>ROUND(R405,0)</f>
        <v>1</v>
      </c>
      <c r="L408" s="492">
        <f>VLOOKUP("全国平均",[1]クレーン単価!A1:O57,4,FALSE)</f>
        <v>49000</v>
      </c>
      <c r="M408" s="492"/>
      <c r="N408" s="492">
        <f>K408*L408</f>
        <v>49000</v>
      </c>
      <c r="O408" s="492"/>
      <c r="P408" s="148"/>
      <c r="Q408" s="148"/>
      <c r="R408" s="148"/>
      <c r="S408" s="148"/>
      <c r="T408" s="148"/>
      <c r="U408" s="148"/>
      <c r="V408" s="148"/>
      <c r="W408" s="148"/>
      <c r="X408" s="457"/>
    </row>
    <row r="409" spans="2:24" ht="14.25" customHeight="1">
      <c r="B409" s="455"/>
      <c r="C409" s="455"/>
      <c r="D409" s="458"/>
      <c r="E409" s="458"/>
      <c r="F409" s="458"/>
      <c r="G409" s="458" t="s">
        <v>1047</v>
      </c>
      <c r="H409" s="458"/>
      <c r="I409" s="458"/>
      <c r="J409" s="468"/>
      <c r="K409" s="469"/>
      <c r="L409" s="493"/>
      <c r="M409" s="493"/>
      <c r="N409" s="493"/>
      <c r="O409" s="493"/>
      <c r="P409" s="148"/>
      <c r="Q409" s="148"/>
      <c r="R409" s="148"/>
      <c r="S409" s="148"/>
      <c r="T409" s="148"/>
      <c r="U409" s="148"/>
      <c r="V409" s="148"/>
      <c r="W409" s="148"/>
      <c r="X409" s="457"/>
    </row>
    <row r="410" spans="2:24" ht="14.25" customHeight="1">
      <c r="B410" s="455"/>
      <c r="C410" s="455"/>
      <c r="D410" s="309" t="s">
        <v>1059</v>
      </c>
      <c r="E410" s="309"/>
      <c r="F410" s="309"/>
      <c r="G410" s="431"/>
      <c r="H410" s="432"/>
      <c r="I410" s="433"/>
      <c r="J410" s="353" t="s">
        <v>183</v>
      </c>
      <c r="K410" s="394">
        <f>T410</f>
        <v>2</v>
      </c>
      <c r="L410" s="494">
        <v>9830</v>
      </c>
      <c r="M410" s="494"/>
      <c r="N410" s="395">
        <f>K410*L410</f>
        <v>19660</v>
      </c>
      <c r="O410" s="395"/>
      <c r="P410" s="151">
        <f>R405</f>
        <v>1</v>
      </c>
      <c r="Q410" s="149" t="s">
        <v>1034</v>
      </c>
      <c r="R410" s="150">
        <v>1.7</v>
      </c>
      <c r="S410" s="149" t="s">
        <v>1055</v>
      </c>
      <c r="T410" s="186">
        <f>ROUND(P410*R410,0)</f>
        <v>2</v>
      </c>
      <c r="U410" s="146" t="s">
        <v>1060</v>
      </c>
      <c r="V410" s="148"/>
      <c r="W410" s="148"/>
      <c r="X410" s="457"/>
    </row>
    <row r="411" spans="2:24" ht="14.25" hidden="1" customHeight="1">
      <c r="B411" s="455"/>
      <c r="C411" s="455"/>
      <c r="D411" s="309" t="s">
        <v>1061</v>
      </c>
      <c r="E411" s="309"/>
      <c r="F411" s="309"/>
      <c r="G411" s="251" t="s">
        <v>1067</v>
      </c>
      <c r="H411" s="309"/>
      <c r="I411" s="309"/>
      <c r="J411" s="353" t="s">
        <v>1025</v>
      </c>
      <c r="K411" s="394">
        <v>0</v>
      </c>
      <c r="L411" s="494">
        <v>6300</v>
      </c>
      <c r="M411" s="494"/>
      <c r="N411" s="395">
        <f>K411*L411</f>
        <v>0</v>
      </c>
      <c r="O411" s="395"/>
      <c r="P411" s="148"/>
      <c r="Q411" s="148"/>
      <c r="R411" s="148"/>
      <c r="S411" s="148"/>
      <c r="T411" s="148"/>
      <c r="U411" s="148"/>
      <c r="V411" s="148"/>
      <c r="W411" s="148"/>
      <c r="X411" s="457"/>
    </row>
    <row r="412" spans="2:24" ht="14.25" customHeight="1">
      <c r="B412" s="309"/>
      <c r="C412" s="309"/>
      <c r="D412" s="309" t="s">
        <v>606</v>
      </c>
      <c r="E412" s="309"/>
      <c r="F412" s="309"/>
      <c r="G412" s="431"/>
      <c r="H412" s="432"/>
      <c r="I412" s="433"/>
      <c r="J412" s="353"/>
      <c r="K412" s="394">
        <f>'[1]日数 (1)'!G742</f>
        <v>4</v>
      </c>
      <c r="L412" s="395">
        <f>INT(Cel工事_落橋防止装置工_金額計 / Cel工事_落橋防止装置工_数量計)</f>
        <v>47290</v>
      </c>
      <c r="M412" s="396"/>
      <c r="N412" s="395">
        <f>SUM(N405:O411)</f>
        <v>189160</v>
      </c>
      <c r="O412" s="395"/>
      <c r="P412" s="478"/>
      <c r="Q412" s="478"/>
      <c r="R412" s="478"/>
      <c r="S412" s="478"/>
      <c r="T412" s="478"/>
      <c r="U412" s="478"/>
      <c r="V412" s="478"/>
      <c r="W412" s="478"/>
      <c r="X412" s="446"/>
    </row>
    <row r="413" spans="2:24" ht="14.25" customHeight="1"/>
    <row r="414" spans="2:24" ht="14.25" customHeight="1"/>
    <row r="415" spans="2:24" ht="14.25" customHeight="1">
      <c r="B415" s="143" t="s">
        <v>1227</v>
      </c>
      <c r="V415" s="159"/>
    </row>
    <row r="416" spans="2:24" ht="14.25" customHeight="1">
      <c r="B416" s="309" t="s">
        <v>1010</v>
      </c>
      <c r="C416" s="309"/>
      <c r="D416" s="251" t="s">
        <v>930</v>
      </c>
      <c r="E416" s="309"/>
      <c r="F416" s="309"/>
      <c r="G416" s="309" t="s">
        <v>1011</v>
      </c>
      <c r="H416" s="309"/>
      <c r="I416" s="309"/>
      <c r="J416" s="353" t="s">
        <v>931</v>
      </c>
      <c r="K416" s="353" t="s">
        <v>932</v>
      </c>
      <c r="L416" s="309" t="s">
        <v>1012</v>
      </c>
      <c r="M416" s="309"/>
      <c r="N416" s="309" t="s">
        <v>1013</v>
      </c>
      <c r="O416" s="309"/>
      <c r="P416" s="309" t="s">
        <v>1014</v>
      </c>
      <c r="Q416" s="309"/>
      <c r="R416" s="309"/>
      <c r="S416" s="309"/>
      <c r="T416" s="309"/>
      <c r="U416" s="309"/>
      <c r="V416" s="309"/>
      <c r="W416" s="309"/>
      <c r="X416" s="309"/>
    </row>
    <row r="417" spans="2:24" ht="14.25" customHeight="1">
      <c r="B417" s="455"/>
      <c r="C417" s="455"/>
      <c r="D417" s="389" t="s">
        <v>1228</v>
      </c>
      <c r="E417" s="429"/>
      <c r="F417" s="430"/>
      <c r="G417" s="589" t="s">
        <v>1229</v>
      </c>
      <c r="H417" s="590"/>
      <c r="I417" s="591"/>
      <c r="J417" s="350" t="s">
        <v>1230</v>
      </c>
      <c r="K417" s="561">
        <f>ROUND('[1]日数 (1)'!M769,1)</f>
        <v>2271</v>
      </c>
      <c r="L417" s="592" t="s">
        <v>1231</v>
      </c>
      <c r="M417" s="593"/>
      <c r="N417" s="594"/>
      <c r="O417" s="593"/>
      <c r="P417" s="150"/>
      <c r="Q417" s="150"/>
      <c r="R417" s="150"/>
      <c r="S417" s="150"/>
      <c r="T417" s="150"/>
      <c r="U417" s="150"/>
      <c r="V417" s="150"/>
      <c r="W417" s="150"/>
      <c r="X417" s="595"/>
    </row>
    <row r="418" spans="2:24" ht="14.25" customHeight="1">
      <c r="B418" s="455"/>
      <c r="C418" s="455"/>
      <c r="D418" s="459" t="s">
        <v>1232</v>
      </c>
      <c r="E418" s="459"/>
      <c r="F418" s="459"/>
      <c r="G418" s="589" t="s">
        <v>1233</v>
      </c>
      <c r="H418" s="590"/>
      <c r="I418" s="591"/>
      <c r="J418" s="350" t="s">
        <v>1234</v>
      </c>
      <c r="K418" s="561">
        <f>K417</f>
        <v>2271</v>
      </c>
      <c r="L418" s="596">
        <f>O444</f>
        <v>2719</v>
      </c>
      <c r="M418" s="596"/>
      <c r="N418" s="395">
        <f>K418*L418</f>
        <v>6174849</v>
      </c>
      <c r="O418" s="395"/>
      <c r="P418" s="146" t="s">
        <v>1129</v>
      </c>
      <c r="Q418" s="150"/>
      <c r="R418" s="150"/>
      <c r="S418" s="150"/>
      <c r="T418" s="150"/>
      <c r="U418" s="150"/>
      <c r="V418" s="150"/>
      <c r="W418" s="150"/>
      <c r="X418" s="595"/>
    </row>
    <row r="419" spans="2:24" ht="14.25" customHeight="1">
      <c r="B419" s="455"/>
      <c r="C419" s="455"/>
      <c r="D419" s="512"/>
      <c r="E419" s="455"/>
      <c r="F419" s="455"/>
      <c r="G419" s="589" t="s">
        <v>1235</v>
      </c>
      <c r="H419" s="590"/>
      <c r="I419" s="591"/>
      <c r="J419" s="350" t="s">
        <v>1236</v>
      </c>
      <c r="K419" s="561">
        <f>K417</f>
        <v>2271</v>
      </c>
      <c r="L419" s="596">
        <f>O445</f>
        <v>1859</v>
      </c>
      <c r="M419" s="596"/>
      <c r="N419" s="395">
        <f>K419*L419</f>
        <v>4221789</v>
      </c>
      <c r="O419" s="395"/>
      <c r="P419" s="146" t="s">
        <v>1129</v>
      </c>
      <c r="Q419" s="150"/>
      <c r="R419" s="150"/>
      <c r="S419" s="150"/>
      <c r="T419" s="150"/>
      <c r="U419" s="150"/>
      <c r="V419" s="150"/>
      <c r="W419" s="150"/>
      <c r="X419" s="595"/>
    </row>
    <row r="420" spans="2:24" ht="14.25" customHeight="1">
      <c r="B420" s="455"/>
      <c r="C420" s="455"/>
      <c r="D420" s="597" t="s">
        <v>1164</v>
      </c>
      <c r="E420" s="598"/>
      <c r="F420" s="599"/>
      <c r="G420" s="309"/>
      <c r="H420" s="309"/>
      <c r="I420" s="309"/>
      <c r="J420" s="350"/>
      <c r="K420" s="600"/>
      <c r="L420" s="557"/>
      <c r="M420" s="557"/>
      <c r="N420" s="395">
        <f>N418+N419</f>
        <v>10396638</v>
      </c>
      <c r="O420" s="395"/>
      <c r="P420" s="146"/>
      <c r="Q420" s="148"/>
      <c r="R420" s="148"/>
      <c r="S420" s="148"/>
      <c r="T420" s="148"/>
      <c r="U420" s="148"/>
      <c r="V420" s="148"/>
      <c r="W420" s="148"/>
      <c r="X420" s="457"/>
    </row>
    <row r="421" spans="2:24" ht="14.25" customHeight="1">
      <c r="B421" s="455"/>
      <c r="C421" s="455"/>
      <c r="D421" s="459" t="s">
        <v>1237</v>
      </c>
      <c r="E421" s="459"/>
      <c r="F421" s="459"/>
      <c r="G421" s="589" t="s">
        <v>1233</v>
      </c>
      <c r="H421" s="590"/>
      <c r="I421" s="591"/>
      <c r="J421" s="350" t="s">
        <v>1238</v>
      </c>
      <c r="K421" s="561">
        <f>K417</f>
        <v>2271</v>
      </c>
      <c r="L421" s="601">
        <f>O447</f>
        <v>608</v>
      </c>
      <c r="M421" s="602"/>
      <c r="N421" s="395">
        <f>K421*L421</f>
        <v>1380768</v>
      </c>
      <c r="O421" s="395"/>
      <c r="P421" s="146" t="s">
        <v>1129</v>
      </c>
      <c r="Q421" s="150"/>
      <c r="R421" s="150"/>
      <c r="S421" s="150"/>
      <c r="T421" s="150"/>
      <c r="U421" s="150"/>
      <c r="V421" s="150"/>
      <c r="W421" s="150"/>
      <c r="X421" s="595"/>
    </row>
    <row r="422" spans="2:24" ht="14.25" customHeight="1">
      <c r="B422" s="455"/>
      <c r="C422" s="455"/>
      <c r="D422" s="512"/>
      <c r="E422" s="455"/>
      <c r="F422" s="455"/>
      <c r="G422" s="589" t="s">
        <v>1235</v>
      </c>
      <c r="H422" s="590"/>
      <c r="I422" s="591"/>
      <c r="J422" s="350" t="s">
        <v>1238</v>
      </c>
      <c r="K422" s="561">
        <f>K417</f>
        <v>2271</v>
      </c>
      <c r="L422" s="596">
        <f>O448</f>
        <v>181</v>
      </c>
      <c r="M422" s="596"/>
      <c r="N422" s="395">
        <f>K422*L422</f>
        <v>411051</v>
      </c>
      <c r="O422" s="395"/>
      <c r="P422" s="146" t="s">
        <v>1129</v>
      </c>
      <c r="Q422" s="150"/>
      <c r="R422" s="150"/>
      <c r="S422" s="150"/>
      <c r="T422" s="150"/>
      <c r="U422" s="150"/>
      <c r="V422" s="150"/>
      <c r="W422" s="150"/>
      <c r="X422" s="595"/>
    </row>
    <row r="423" spans="2:24" ht="14.25" customHeight="1">
      <c r="B423" s="455"/>
      <c r="C423" s="455"/>
      <c r="D423" s="597" t="s">
        <v>1164</v>
      </c>
      <c r="E423" s="598"/>
      <c r="F423" s="599"/>
      <c r="G423" s="309"/>
      <c r="H423" s="309"/>
      <c r="I423" s="309"/>
      <c r="J423" s="350"/>
      <c r="K423" s="600">
        <f>Cel工事_足場工_数量_架設区間Ａ</f>
        <v>2271</v>
      </c>
      <c r="L423" s="557"/>
      <c r="M423" s="557"/>
      <c r="N423" s="395">
        <f>N421+N422</f>
        <v>1791819</v>
      </c>
      <c r="O423" s="395"/>
      <c r="P423" s="146"/>
      <c r="Q423" s="148"/>
      <c r="R423" s="148"/>
      <c r="S423" s="148"/>
      <c r="T423" s="148"/>
      <c r="U423" s="148"/>
      <c r="V423" s="148"/>
      <c r="W423" s="148"/>
      <c r="X423" s="457"/>
    </row>
    <row r="424" spans="2:24" ht="14.25" customHeight="1">
      <c r="B424" s="455"/>
      <c r="C424" s="455"/>
      <c r="D424" s="460" t="s">
        <v>1239</v>
      </c>
      <c r="E424" s="459"/>
      <c r="F424" s="459"/>
      <c r="G424" s="589" t="s">
        <v>1233</v>
      </c>
      <c r="H424" s="590"/>
      <c r="I424" s="591"/>
      <c r="J424" s="350" t="s">
        <v>1238</v>
      </c>
      <c r="K424" s="561">
        <f>K417</f>
        <v>2271</v>
      </c>
      <c r="L424" s="596">
        <f>O450</f>
        <v>376</v>
      </c>
      <c r="M424" s="596"/>
      <c r="N424" s="395">
        <f>K424*L424</f>
        <v>853896</v>
      </c>
      <c r="O424" s="395"/>
      <c r="P424" s="146" t="s">
        <v>1129</v>
      </c>
      <c r="Q424" s="150"/>
      <c r="R424" s="150"/>
      <c r="S424" s="150"/>
      <c r="T424" s="150"/>
      <c r="U424" s="150"/>
      <c r="V424" s="150"/>
      <c r="W424" s="150"/>
      <c r="X424" s="595"/>
    </row>
    <row r="425" spans="2:24" ht="14.25" customHeight="1">
      <c r="B425" s="455"/>
      <c r="C425" s="455"/>
      <c r="D425" s="512"/>
      <c r="E425" s="455"/>
      <c r="F425" s="455"/>
      <c r="G425" s="589" t="s">
        <v>1235</v>
      </c>
      <c r="H425" s="590"/>
      <c r="I425" s="591"/>
      <c r="J425" s="350" t="s">
        <v>1238</v>
      </c>
      <c r="K425" s="561">
        <f>K417</f>
        <v>2271</v>
      </c>
      <c r="L425" s="596">
        <f>O451</f>
        <v>276</v>
      </c>
      <c r="M425" s="596"/>
      <c r="N425" s="395">
        <f>K425*L425</f>
        <v>626796</v>
      </c>
      <c r="O425" s="395"/>
      <c r="P425" s="146" t="s">
        <v>1129</v>
      </c>
      <c r="Q425" s="150"/>
      <c r="R425" s="150"/>
      <c r="S425" s="150"/>
      <c r="T425" s="150"/>
      <c r="U425" s="150"/>
      <c r="V425" s="150"/>
      <c r="W425" s="150"/>
      <c r="X425" s="595"/>
    </row>
    <row r="426" spans="2:24" ht="14.25" customHeight="1">
      <c r="B426" s="455"/>
      <c r="C426" s="455"/>
      <c r="D426" s="597" t="s">
        <v>1164</v>
      </c>
      <c r="E426" s="598"/>
      <c r="F426" s="599"/>
      <c r="G426" s="251"/>
      <c r="H426" s="309"/>
      <c r="I426" s="309"/>
      <c r="J426" s="350"/>
      <c r="K426" s="600"/>
      <c r="L426" s="557"/>
      <c r="M426" s="557"/>
      <c r="N426" s="395">
        <f>N424+N425</f>
        <v>1480692</v>
      </c>
      <c r="O426" s="395"/>
      <c r="P426" s="146"/>
      <c r="Q426" s="148"/>
      <c r="R426" s="148"/>
      <c r="S426" s="148"/>
      <c r="T426" s="148"/>
      <c r="U426" s="148"/>
      <c r="V426" s="148"/>
      <c r="W426" s="148"/>
      <c r="X426" s="457"/>
    </row>
    <row r="427" spans="2:24" ht="14.25" customHeight="1">
      <c r="B427" s="455"/>
      <c r="C427" s="455"/>
      <c r="D427" s="460" t="s">
        <v>1240</v>
      </c>
      <c r="E427" s="459"/>
      <c r="F427" s="459"/>
      <c r="G427" s="589" t="s">
        <v>1233</v>
      </c>
      <c r="H427" s="590"/>
      <c r="I427" s="591"/>
      <c r="J427" s="350" t="s">
        <v>1238</v>
      </c>
      <c r="K427" s="561">
        <f>K417</f>
        <v>2271</v>
      </c>
      <c r="L427" s="596">
        <f>O453</f>
        <v>203</v>
      </c>
      <c r="M427" s="596"/>
      <c r="N427" s="395">
        <f>K427*L427</f>
        <v>461013</v>
      </c>
      <c r="O427" s="395"/>
      <c r="P427" s="146" t="s">
        <v>1129</v>
      </c>
      <c r="Q427" s="150"/>
      <c r="R427" s="150"/>
      <c r="S427" s="150"/>
      <c r="T427" s="150"/>
      <c r="U427" s="150"/>
      <c r="V427" s="150"/>
      <c r="W427" s="150"/>
      <c r="X427" s="595"/>
    </row>
    <row r="428" spans="2:24" ht="14.25" customHeight="1">
      <c r="B428" s="455"/>
      <c r="C428" s="455"/>
      <c r="D428" s="512"/>
      <c r="E428" s="455"/>
      <c r="F428" s="455"/>
      <c r="G428" s="589" t="s">
        <v>1235</v>
      </c>
      <c r="H428" s="590"/>
      <c r="I428" s="591"/>
      <c r="J428" s="350" t="s">
        <v>1238</v>
      </c>
      <c r="K428" s="561">
        <f>K417</f>
        <v>2271</v>
      </c>
      <c r="L428" s="596">
        <f>O454</f>
        <v>393</v>
      </c>
      <c r="M428" s="596"/>
      <c r="N428" s="395">
        <f>K428*L428</f>
        <v>892503</v>
      </c>
      <c r="O428" s="395"/>
      <c r="P428" s="146" t="s">
        <v>1129</v>
      </c>
      <c r="Q428" s="150"/>
      <c r="R428" s="150"/>
      <c r="S428" s="150"/>
      <c r="T428" s="150"/>
      <c r="U428" s="150"/>
      <c r="V428" s="150"/>
      <c r="W428" s="150"/>
      <c r="X428" s="595"/>
    </row>
    <row r="429" spans="2:24" ht="14.25" customHeight="1">
      <c r="B429" s="455"/>
      <c r="C429" s="455"/>
      <c r="D429" s="597" t="s">
        <v>1164</v>
      </c>
      <c r="E429" s="598"/>
      <c r="F429" s="599"/>
      <c r="G429" s="251"/>
      <c r="H429" s="309"/>
      <c r="I429" s="309"/>
      <c r="J429" s="350"/>
      <c r="K429" s="600"/>
      <c r="L429" s="557"/>
      <c r="M429" s="557"/>
      <c r="N429" s="395">
        <f>N427+N428</f>
        <v>1353516</v>
      </c>
      <c r="O429" s="395"/>
      <c r="P429" s="146"/>
      <c r="Q429" s="148"/>
      <c r="R429" s="148"/>
      <c r="S429" s="148"/>
      <c r="T429" s="148"/>
      <c r="U429" s="148"/>
      <c r="V429" s="148"/>
      <c r="W429" s="148"/>
      <c r="X429" s="457"/>
    </row>
    <row r="430" spans="2:24" ht="14.25" hidden="1" customHeight="1">
      <c r="B430" s="455"/>
      <c r="C430" s="455"/>
      <c r="D430" s="389" t="s">
        <v>1241</v>
      </c>
      <c r="E430" s="429"/>
      <c r="F430" s="430"/>
      <c r="G430" s="589" t="s">
        <v>1242</v>
      </c>
      <c r="H430" s="590"/>
      <c r="I430" s="591"/>
      <c r="J430" s="350" t="s">
        <v>1243</v>
      </c>
      <c r="K430" s="561">
        <f>ROUND('[1]日数 (1)'!N803,1)</f>
        <v>0</v>
      </c>
      <c r="L430" s="592" t="s">
        <v>1244</v>
      </c>
      <c r="M430" s="593"/>
      <c r="N430" s="594"/>
      <c r="O430" s="593"/>
      <c r="P430" s="150"/>
      <c r="Q430" s="150"/>
      <c r="R430" s="150"/>
      <c r="S430" s="150"/>
      <c r="T430" s="150"/>
      <c r="U430" s="150"/>
      <c r="V430" s="150"/>
      <c r="W430" s="150"/>
      <c r="X430" s="595"/>
    </row>
    <row r="431" spans="2:24" ht="14.25" hidden="1" customHeight="1">
      <c r="B431" s="455"/>
      <c r="C431" s="455"/>
      <c r="D431" s="459" t="s">
        <v>1232</v>
      </c>
      <c r="E431" s="459"/>
      <c r="F431" s="459"/>
      <c r="G431" s="589" t="s">
        <v>1233</v>
      </c>
      <c r="H431" s="590"/>
      <c r="I431" s="591"/>
      <c r="J431" s="350" t="s">
        <v>1238</v>
      </c>
      <c r="K431" s="561">
        <f>K430</f>
        <v>0</v>
      </c>
      <c r="L431" s="596">
        <f>O456</f>
        <v>1389</v>
      </c>
      <c r="M431" s="596"/>
      <c r="N431" s="395">
        <f>K431*L431</f>
        <v>0</v>
      </c>
      <c r="O431" s="395"/>
      <c r="P431" s="146" t="s">
        <v>1129</v>
      </c>
      <c r="Q431" s="150"/>
      <c r="R431" s="150"/>
      <c r="S431" s="150"/>
      <c r="T431" s="150"/>
      <c r="U431" s="150"/>
      <c r="V431" s="150"/>
      <c r="W431" s="150"/>
      <c r="X431" s="595"/>
    </row>
    <row r="432" spans="2:24" ht="14.25" hidden="1" customHeight="1">
      <c r="B432" s="455"/>
      <c r="C432" s="455"/>
      <c r="D432" s="512"/>
      <c r="E432" s="455"/>
      <c r="F432" s="455"/>
      <c r="G432" s="589" t="s">
        <v>1235</v>
      </c>
      <c r="H432" s="590"/>
      <c r="I432" s="591"/>
      <c r="J432" s="350" t="s">
        <v>1238</v>
      </c>
      <c r="K432" s="561">
        <f>K430</f>
        <v>0</v>
      </c>
      <c r="L432" s="596">
        <f>O457</f>
        <v>131</v>
      </c>
      <c r="M432" s="596"/>
      <c r="N432" s="395">
        <f>K432*L432</f>
        <v>0</v>
      </c>
      <c r="O432" s="395"/>
      <c r="P432" s="146" t="s">
        <v>1129</v>
      </c>
      <c r="Q432" s="150"/>
      <c r="R432" s="150"/>
      <c r="S432" s="150"/>
      <c r="T432" s="150"/>
      <c r="U432" s="150"/>
      <c r="V432" s="150"/>
      <c r="W432" s="150"/>
      <c r="X432" s="595"/>
    </row>
    <row r="433" spans="2:24" ht="14.25" hidden="1" customHeight="1">
      <c r="B433" s="455"/>
      <c r="C433" s="455"/>
      <c r="D433" s="597" t="s">
        <v>1164</v>
      </c>
      <c r="E433" s="598"/>
      <c r="F433" s="599"/>
      <c r="G433" s="309"/>
      <c r="H433" s="309"/>
      <c r="I433" s="309"/>
      <c r="J433" s="350"/>
      <c r="K433" s="600"/>
      <c r="L433" s="557"/>
      <c r="M433" s="557"/>
      <c r="N433" s="395">
        <f>N431+N432</f>
        <v>0</v>
      </c>
      <c r="O433" s="395"/>
      <c r="P433" s="146"/>
      <c r="Q433" s="148"/>
      <c r="R433" s="148"/>
      <c r="S433" s="148"/>
      <c r="T433" s="148"/>
      <c r="U433" s="148"/>
      <c r="V433" s="148"/>
      <c r="W433" s="148"/>
      <c r="X433" s="457"/>
    </row>
    <row r="434" spans="2:24" ht="14.25" hidden="1" customHeight="1">
      <c r="B434" s="455"/>
      <c r="C434" s="455"/>
      <c r="D434" s="459" t="s">
        <v>1245</v>
      </c>
      <c r="E434" s="459"/>
      <c r="F434" s="459"/>
      <c r="G434" s="589" t="s">
        <v>1233</v>
      </c>
      <c r="H434" s="590"/>
      <c r="I434" s="591"/>
      <c r="J434" s="350" t="s">
        <v>1238</v>
      </c>
      <c r="K434" s="561">
        <f>K430</f>
        <v>0</v>
      </c>
      <c r="L434" s="596">
        <f>O459</f>
        <v>376</v>
      </c>
      <c r="M434" s="596"/>
      <c r="N434" s="395">
        <f>K434*L434</f>
        <v>0</v>
      </c>
      <c r="O434" s="395"/>
      <c r="P434" s="146" t="s">
        <v>1129</v>
      </c>
      <c r="Q434" s="150"/>
      <c r="R434" s="150"/>
      <c r="S434" s="150"/>
      <c r="T434" s="150"/>
      <c r="U434" s="150"/>
      <c r="V434" s="150"/>
      <c r="W434" s="150"/>
      <c r="X434" s="595"/>
    </row>
    <row r="435" spans="2:24" ht="14.25" hidden="1" customHeight="1">
      <c r="B435" s="455"/>
      <c r="C435" s="455"/>
      <c r="D435" s="512"/>
      <c r="E435" s="455"/>
      <c r="F435" s="455"/>
      <c r="G435" s="589" t="s">
        <v>1235</v>
      </c>
      <c r="H435" s="590"/>
      <c r="I435" s="591"/>
      <c r="J435" s="350" t="s">
        <v>1238</v>
      </c>
      <c r="K435" s="561">
        <f>K430</f>
        <v>0</v>
      </c>
      <c r="L435" s="596">
        <f>O460</f>
        <v>37</v>
      </c>
      <c r="M435" s="596"/>
      <c r="N435" s="395">
        <f>K435*L435</f>
        <v>0</v>
      </c>
      <c r="O435" s="395"/>
      <c r="P435" s="146" t="s">
        <v>1129</v>
      </c>
      <c r="Q435" s="150"/>
      <c r="R435" s="150"/>
      <c r="S435" s="150"/>
      <c r="T435" s="150"/>
      <c r="U435" s="150"/>
      <c r="V435" s="150"/>
      <c r="W435" s="150"/>
      <c r="X435" s="595"/>
    </row>
    <row r="436" spans="2:24" ht="14.25" hidden="1" customHeight="1">
      <c r="B436" s="455"/>
      <c r="C436" s="455"/>
      <c r="D436" s="597" t="s">
        <v>1164</v>
      </c>
      <c r="E436" s="598"/>
      <c r="F436" s="599"/>
      <c r="G436" s="309"/>
      <c r="H436" s="309"/>
      <c r="I436" s="309"/>
      <c r="J436" s="350"/>
      <c r="K436" s="600"/>
      <c r="L436" s="557"/>
      <c r="M436" s="557"/>
      <c r="N436" s="395">
        <f>N434+N435</f>
        <v>0</v>
      </c>
      <c r="O436" s="395"/>
      <c r="P436" s="146"/>
      <c r="Q436" s="148"/>
      <c r="R436" s="148"/>
      <c r="S436" s="148"/>
      <c r="T436" s="148"/>
      <c r="U436" s="148"/>
      <c r="V436" s="148"/>
      <c r="W436" s="148"/>
      <c r="X436" s="457"/>
    </row>
    <row r="437" spans="2:24" ht="14.25" hidden="1" customHeight="1">
      <c r="B437" s="455"/>
      <c r="C437" s="455"/>
      <c r="D437" s="603" t="s">
        <v>1246</v>
      </c>
      <c r="E437" s="224"/>
      <c r="F437" s="443"/>
      <c r="G437" s="589" t="s">
        <v>1247</v>
      </c>
      <c r="H437" s="590"/>
      <c r="I437" s="591"/>
      <c r="J437" s="350" t="s">
        <v>1248</v>
      </c>
      <c r="K437" s="354"/>
      <c r="L437" s="592" t="s">
        <v>948</v>
      </c>
      <c r="M437" s="593"/>
      <c r="N437" s="594"/>
      <c r="O437" s="593"/>
      <c r="P437" s="150"/>
      <c r="Q437" s="150"/>
      <c r="R437" s="150"/>
      <c r="S437" s="150"/>
      <c r="T437" s="150"/>
      <c r="U437" s="150"/>
      <c r="V437" s="150"/>
      <c r="W437" s="150"/>
      <c r="X437" s="595"/>
    </row>
    <row r="438" spans="2:24" ht="14.25" hidden="1" customHeight="1">
      <c r="B438" s="455"/>
      <c r="C438" s="455"/>
      <c r="D438" s="512"/>
      <c r="E438" s="455"/>
      <c r="F438" s="455"/>
      <c r="G438" s="589" t="s">
        <v>1233</v>
      </c>
      <c r="H438" s="590"/>
      <c r="I438" s="591"/>
      <c r="J438" s="350" t="s">
        <v>948</v>
      </c>
      <c r="K438" s="354">
        <f>K437</f>
        <v>0</v>
      </c>
      <c r="L438" s="596">
        <f>O462</f>
        <v>21235</v>
      </c>
      <c r="M438" s="596"/>
      <c r="N438" s="395">
        <f>K438*L438</f>
        <v>0</v>
      </c>
      <c r="O438" s="395"/>
      <c r="P438" s="146" t="s">
        <v>1129</v>
      </c>
      <c r="Q438" s="150"/>
      <c r="R438" s="150"/>
      <c r="S438" s="150"/>
      <c r="T438" s="150"/>
      <c r="U438" s="150"/>
      <c r="V438" s="150"/>
      <c r="W438" s="150"/>
      <c r="X438" s="595"/>
    </row>
    <row r="439" spans="2:24" ht="14.25" hidden="1" customHeight="1">
      <c r="B439" s="455"/>
      <c r="C439" s="455"/>
      <c r="D439" s="512"/>
      <c r="E439" s="455"/>
      <c r="F439" s="455"/>
      <c r="G439" s="589" t="s">
        <v>1235</v>
      </c>
      <c r="H439" s="590"/>
      <c r="I439" s="591"/>
      <c r="J439" s="350" t="s">
        <v>948</v>
      </c>
      <c r="K439" s="354">
        <f>K437</f>
        <v>0</v>
      </c>
      <c r="L439" s="596">
        <f>O463</f>
        <v>5116</v>
      </c>
      <c r="M439" s="596"/>
      <c r="N439" s="395">
        <f>K439*L439</f>
        <v>0</v>
      </c>
      <c r="O439" s="395"/>
      <c r="P439" s="146" t="s">
        <v>1129</v>
      </c>
      <c r="Q439" s="150"/>
      <c r="R439" s="150"/>
      <c r="S439" s="150"/>
      <c r="T439" s="150"/>
      <c r="U439" s="150"/>
      <c r="V439" s="150"/>
      <c r="W439" s="150"/>
      <c r="X439" s="595"/>
    </row>
    <row r="440" spans="2:24" ht="14.25" hidden="1" customHeight="1">
      <c r="B440" s="458"/>
      <c r="C440" s="458"/>
      <c r="D440" s="597" t="s">
        <v>1164</v>
      </c>
      <c r="E440" s="598"/>
      <c r="F440" s="599"/>
      <c r="G440" s="251"/>
      <c r="H440" s="309"/>
      <c r="I440" s="309"/>
      <c r="J440" s="353"/>
      <c r="K440" s="604"/>
      <c r="L440" s="557"/>
      <c r="M440" s="557"/>
      <c r="N440" s="395">
        <f>N438+N439</f>
        <v>0</v>
      </c>
      <c r="O440" s="395"/>
      <c r="P440" s="146"/>
      <c r="Q440" s="148"/>
      <c r="R440" s="148"/>
      <c r="S440" s="148"/>
      <c r="T440" s="148"/>
      <c r="U440" s="148"/>
      <c r="V440" s="148"/>
      <c r="W440" s="148"/>
      <c r="X440" s="457"/>
    </row>
    <row r="441" spans="2:24" ht="14.25" customHeight="1">
      <c r="B441" s="309"/>
      <c r="C441" s="309"/>
      <c r="D441" s="309" t="s">
        <v>606</v>
      </c>
      <c r="E441" s="309"/>
      <c r="F441" s="309"/>
      <c r="G441" s="309"/>
      <c r="H441" s="309"/>
      <c r="I441" s="309"/>
      <c r="J441" s="605">
        <f>'[1]日数 (1)'!M769</f>
        <v>2271</v>
      </c>
      <c r="K441" s="309"/>
      <c r="L441" s="596">
        <f>INT(Cel工事_足場工_金額計 / Cel工事_足場工_数量計)</f>
        <v>6615</v>
      </c>
      <c r="M441" s="557"/>
      <c r="N441" s="395">
        <f>SUM(N420,N423,N426,N429,N433,N436,N440)</f>
        <v>15022665</v>
      </c>
      <c r="O441" s="395"/>
      <c r="P441" s="478"/>
      <c r="Q441" s="478"/>
      <c r="R441" s="478"/>
      <c r="S441" s="478"/>
      <c r="T441" s="478"/>
      <c r="U441" s="478"/>
      <c r="V441" s="478"/>
      <c r="W441" s="478"/>
      <c r="X441" s="446"/>
    </row>
    <row r="442" spans="2:24" ht="14.25" customHeight="1"/>
    <row r="443" spans="2:24" ht="14.25" customHeight="1">
      <c r="C443" s="157" t="s">
        <v>1249</v>
      </c>
    </row>
    <row r="444" spans="2:24" ht="14.25" customHeight="1">
      <c r="C444" s="606" t="s">
        <v>1250</v>
      </c>
      <c r="D444" s="168" t="s">
        <v>1251</v>
      </c>
      <c r="E444" s="166" t="s">
        <v>1252</v>
      </c>
      <c r="F444" s="154"/>
      <c r="G444" s="154"/>
      <c r="H444" s="120" t="s">
        <v>1253</v>
      </c>
      <c r="I444" s="262">
        <v>5.5E-2</v>
      </c>
      <c r="J444" s="154" t="s">
        <v>1254</v>
      </c>
      <c r="K444" s="262">
        <v>3.9E-2</v>
      </c>
      <c r="L444" s="154" t="s">
        <v>1255</v>
      </c>
      <c r="M444" s="165">
        <f>L235</f>
        <v>28930</v>
      </c>
      <c r="N444" s="154" t="s">
        <v>1256</v>
      </c>
      <c r="O444" s="165">
        <f>ROUND((I444+K444)*M444,0)</f>
        <v>2719</v>
      </c>
      <c r="P444" s="157" t="s">
        <v>1257</v>
      </c>
      <c r="Q444" s="155"/>
      <c r="R444" s="154"/>
      <c r="T444" s="157"/>
    </row>
    <row r="445" spans="2:24" ht="14.25" customHeight="1">
      <c r="C445" s="606" t="s">
        <v>1258</v>
      </c>
      <c r="D445" s="168" t="s">
        <v>1251</v>
      </c>
      <c r="E445" s="166" t="s">
        <v>1259</v>
      </c>
      <c r="F445" s="155"/>
      <c r="G445" s="154"/>
      <c r="H445" s="120" t="s">
        <v>1260</v>
      </c>
      <c r="I445" s="159">
        <v>499</v>
      </c>
      <c r="J445" s="120" t="s">
        <v>1261</v>
      </c>
      <c r="K445" s="159">
        <v>136</v>
      </c>
      <c r="L445" s="154" t="s">
        <v>1262</v>
      </c>
      <c r="M445" s="210">
        <f>'[1]基本 (1)'!D253</f>
        <v>10</v>
      </c>
      <c r="N445" s="154" t="s">
        <v>1263</v>
      </c>
      <c r="O445" s="165">
        <f>ROUND(I445+(K445*M445),0)</f>
        <v>1859</v>
      </c>
      <c r="P445" s="157" t="s">
        <v>1264</v>
      </c>
    </row>
    <row r="446" spans="2:24" ht="14.25" customHeight="1">
      <c r="C446" s="157" t="s">
        <v>1265</v>
      </c>
    </row>
    <row r="447" spans="2:24" ht="14.25" customHeight="1">
      <c r="C447" s="606" t="s">
        <v>1250</v>
      </c>
      <c r="D447" s="168" t="s">
        <v>1251</v>
      </c>
      <c r="E447" s="166" t="s">
        <v>1266</v>
      </c>
      <c r="F447" s="154"/>
      <c r="G447" s="154"/>
      <c r="H447" s="120" t="s">
        <v>1253</v>
      </c>
      <c r="I447" s="262">
        <v>1.2E-2</v>
      </c>
      <c r="J447" s="154" t="s">
        <v>1254</v>
      </c>
      <c r="K447" s="262">
        <v>8.9999999999999993E-3</v>
      </c>
      <c r="L447" s="154" t="s">
        <v>1255</v>
      </c>
      <c r="M447" s="165">
        <f>L235</f>
        <v>28930</v>
      </c>
      <c r="N447" s="154" t="s">
        <v>1267</v>
      </c>
      <c r="O447" s="165">
        <f>ROUND((I447+K447)*M447,0)</f>
        <v>608</v>
      </c>
      <c r="P447" s="157" t="s">
        <v>1268</v>
      </c>
    </row>
    <row r="448" spans="2:24" ht="14.25" customHeight="1">
      <c r="C448" s="606" t="s">
        <v>1258</v>
      </c>
      <c r="D448" s="168" t="s">
        <v>1251</v>
      </c>
      <c r="E448" s="166" t="s">
        <v>1269</v>
      </c>
      <c r="F448" s="155"/>
      <c r="G448" s="154"/>
      <c r="H448" s="120" t="s">
        <v>1270</v>
      </c>
      <c r="I448" s="159">
        <v>36</v>
      </c>
      <c r="J448" s="120" t="s">
        <v>1271</v>
      </c>
      <c r="K448" s="159">
        <v>33</v>
      </c>
      <c r="L448" s="154" t="s">
        <v>1262</v>
      </c>
      <c r="M448" s="210">
        <f>'[1]基本 (1)'!D263</f>
        <v>4.4000000000000004</v>
      </c>
      <c r="N448" s="154" t="s">
        <v>1272</v>
      </c>
      <c r="O448" s="165">
        <f>ROUND(I448+(K448*M448),0)</f>
        <v>181</v>
      </c>
      <c r="P448" s="157" t="s">
        <v>1273</v>
      </c>
    </row>
    <row r="449" spans="3:20" ht="14.25" customHeight="1">
      <c r="C449" s="157" t="s">
        <v>1274</v>
      </c>
    </row>
    <row r="450" spans="3:20" ht="14.25" customHeight="1">
      <c r="C450" s="606" t="s">
        <v>1250</v>
      </c>
      <c r="D450" s="168" t="s">
        <v>1251</v>
      </c>
      <c r="E450" s="166" t="s">
        <v>1275</v>
      </c>
      <c r="F450" s="154"/>
      <c r="G450" s="154"/>
      <c r="H450" s="120" t="s">
        <v>1276</v>
      </c>
      <c r="I450" s="262">
        <v>7.0000000000000001E-3</v>
      </c>
      <c r="J450" s="154" t="s">
        <v>1277</v>
      </c>
      <c r="K450" s="262">
        <v>6.0000000000000001E-3</v>
      </c>
      <c r="L450" s="154" t="s">
        <v>1278</v>
      </c>
      <c r="M450" s="165">
        <f>L235</f>
        <v>28930</v>
      </c>
      <c r="N450" s="154" t="s">
        <v>1267</v>
      </c>
      <c r="O450" s="165">
        <f>ROUND((I450+K450)*M450,0)</f>
        <v>376</v>
      </c>
      <c r="P450" s="157" t="s">
        <v>1273</v>
      </c>
    </row>
    <row r="451" spans="3:20" ht="14.25" customHeight="1">
      <c r="C451" s="606" t="s">
        <v>1258</v>
      </c>
      <c r="D451" s="168" t="s">
        <v>1251</v>
      </c>
      <c r="E451" s="166" t="s">
        <v>1279</v>
      </c>
      <c r="F451" s="155"/>
      <c r="G451" s="154"/>
      <c r="H451" s="120" t="s">
        <v>1270</v>
      </c>
      <c r="I451" s="159">
        <v>52</v>
      </c>
      <c r="J451" s="120" t="s">
        <v>1280</v>
      </c>
      <c r="K451" s="159">
        <v>51</v>
      </c>
      <c r="L451" s="154" t="s">
        <v>1262</v>
      </c>
      <c r="M451" s="210">
        <f>M448</f>
        <v>4.4000000000000004</v>
      </c>
      <c r="N451" s="154" t="s">
        <v>1272</v>
      </c>
      <c r="O451" s="165">
        <f>ROUND(I451+(K451*M451),0)</f>
        <v>276</v>
      </c>
      <c r="P451" s="157" t="s">
        <v>1273</v>
      </c>
    </row>
    <row r="452" spans="3:20" ht="14.25" customHeight="1">
      <c r="C452" s="157" t="s">
        <v>1281</v>
      </c>
    </row>
    <row r="453" spans="3:20" ht="14.25" customHeight="1">
      <c r="C453" s="606" t="s">
        <v>1250</v>
      </c>
      <c r="D453" s="168" t="s">
        <v>1251</v>
      </c>
      <c r="E453" s="166" t="s">
        <v>1252</v>
      </c>
      <c r="F453" s="154"/>
      <c r="G453" s="154"/>
      <c r="H453" s="120" t="s">
        <v>1253</v>
      </c>
      <c r="I453" s="262">
        <v>4.0000000000000001E-3</v>
      </c>
      <c r="J453" s="154" t="s">
        <v>1254</v>
      </c>
      <c r="K453" s="262">
        <v>3.0000000000000001E-3</v>
      </c>
      <c r="L453" s="154" t="s">
        <v>1255</v>
      </c>
      <c r="M453" s="165">
        <f>L235</f>
        <v>28930</v>
      </c>
      <c r="N453" s="154" t="s">
        <v>1267</v>
      </c>
      <c r="O453" s="165">
        <f>ROUND((I453+K453)*M453,0)</f>
        <v>203</v>
      </c>
      <c r="P453" s="157" t="s">
        <v>1273</v>
      </c>
    </row>
    <row r="454" spans="3:20" ht="14.25" customHeight="1">
      <c r="C454" s="606" t="s">
        <v>1258</v>
      </c>
      <c r="D454" s="168" t="s">
        <v>1251</v>
      </c>
      <c r="E454" s="166" t="s">
        <v>1282</v>
      </c>
      <c r="F454" s="155"/>
      <c r="G454" s="154"/>
      <c r="H454" s="120" t="s">
        <v>1283</v>
      </c>
      <c r="I454" s="159">
        <v>76</v>
      </c>
      <c r="J454" s="120" t="s">
        <v>1284</v>
      </c>
      <c r="K454" s="159">
        <v>72</v>
      </c>
      <c r="L454" s="154" t="s">
        <v>1285</v>
      </c>
      <c r="M454" s="210">
        <f>M448</f>
        <v>4.4000000000000004</v>
      </c>
      <c r="N454" s="154" t="s">
        <v>1286</v>
      </c>
      <c r="O454" s="165">
        <f>ROUND(I454+(K454*M454),0)</f>
        <v>393</v>
      </c>
      <c r="P454" s="157" t="s">
        <v>1287</v>
      </c>
    </row>
    <row r="455" spans="3:20" ht="14.25" hidden="1" customHeight="1">
      <c r="C455" s="157" t="s">
        <v>1288</v>
      </c>
    </row>
    <row r="456" spans="3:20" ht="14.25" hidden="1" customHeight="1">
      <c r="C456" s="606" t="s">
        <v>1250</v>
      </c>
      <c r="D456" s="168" t="s">
        <v>1251</v>
      </c>
      <c r="E456" s="166" t="s">
        <v>1252</v>
      </c>
      <c r="F456" s="154"/>
      <c r="G456" s="154"/>
      <c r="H456" s="120" t="s">
        <v>1253</v>
      </c>
      <c r="I456" s="262">
        <v>2.8000000000000001E-2</v>
      </c>
      <c r="J456" s="154" t="s">
        <v>1254</v>
      </c>
      <c r="K456" s="262">
        <v>0.02</v>
      </c>
      <c r="L456" s="154" t="s">
        <v>1255</v>
      </c>
      <c r="M456" s="165">
        <f>L235</f>
        <v>28930</v>
      </c>
      <c r="N456" s="154" t="s">
        <v>1289</v>
      </c>
      <c r="O456" s="165">
        <f>ROUND((I456+K456)*M456,0)</f>
        <v>1389</v>
      </c>
      <c r="P456" s="157" t="s">
        <v>1290</v>
      </c>
      <c r="Q456" s="155"/>
      <c r="R456" s="154"/>
      <c r="T456" s="157"/>
    </row>
    <row r="457" spans="3:20" ht="14.25" hidden="1" customHeight="1">
      <c r="C457" s="606" t="s">
        <v>1258</v>
      </c>
      <c r="D457" s="168" t="s">
        <v>1251</v>
      </c>
      <c r="E457" s="166" t="s">
        <v>1291</v>
      </c>
      <c r="F457" s="155"/>
      <c r="G457" s="154"/>
      <c r="H457" s="120" t="s">
        <v>1292</v>
      </c>
      <c r="I457" s="159">
        <v>131</v>
      </c>
      <c r="J457" s="120" t="s">
        <v>1293</v>
      </c>
      <c r="K457" s="159">
        <v>117</v>
      </c>
      <c r="L457" s="154" t="s">
        <v>323</v>
      </c>
      <c r="M457" s="210">
        <f>'[1]基本 (1)'!D283</f>
        <v>0</v>
      </c>
      <c r="N457" s="154" t="s">
        <v>1294</v>
      </c>
      <c r="O457" s="165">
        <f>ROUND(I457+(K457*M457),0)</f>
        <v>131</v>
      </c>
      <c r="P457" s="157" t="s">
        <v>1268</v>
      </c>
    </row>
    <row r="458" spans="3:20" ht="14.25" hidden="1" customHeight="1">
      <c r="C458" s="157" t="s">
        <v>1295</v>
      </c>
    </row>
    <row r="459" spans="3:20" ht="14.25" hidden="1" customHeight="1">
      <c r="C459" s="606" t="s">
        <v>1250</v>
      </c>
      <c r="D459" s="168" t="s">
        <v>1251</v>
      </c>
      <c r="E459" s="166" t="s">
        <v>1296</v>
      </c>
      <c r="F459" s="154"/>
      <c r="G459" s="154"/>
      <c r="H459" s="120" t="s">
        <v>1253</v>
      </c>
      <c r="I459" s="262">
        <v>7.0000000000000001E-3</v>
      </c>
      <c r="J459" s="154" t="s">
        <v>78</v>
      </c>
      <c r="K459" s="262">
        <v>6.0000000000000001E-3</v>
      </c>
      <c r="L459" s="154" t="s">
        <v>1297</v>
      </c>
      <c r="M459" s="165">
        <f>L235</f>
        <v>28930</v>
      </c>
      <c r="N459" s="154" t="s">
        <v>1298</v>
      </c>
      <c r="O459" s="165">
        <f>ROUND((I459+K459)*M459,0)</f>
        <v>376</v>
      </c>
      <c r="P459" s="157" t="s">
        <v>1268</v>
      </c>
    </row>
    <row r="460" spans="3:20" ht="14.25" hidden="1" customHeight="1">
      <c r="C460" s="606" t="s">
        <v>1258</v>
      </c>
      <c r="D460" s="168" t="s">
        <v>1251</v>
      </c>
      <c r="E460" s="166" t="s">
        <v>1299</v>
      </c>
      <c r="F460" s="155"/>
      <c r="G460" s="154"/>
      <c r="H460" s="120" t="s">
        <v>1300</v>
      </c>
      <c r="I460" s="159">
        <v>37</v>
      </c>
      <c r="J460" s="120" t="s">
        <v>1293</v>
      </c>
      <c r="K460" s="159">
        <v>33</v>
      </c>
      <c r="L460" s="154" t="s">
        <v>323</v>
      </c>
      <c r="M460" s="210">
        <f>M457</f>
        <v>0</v>
      </c>
      <c r="N460" s="154" t="s">
        <v>1294</v>
      </c>
      <c r="O460" s="165">
        <f>ROUND(I460+(K460*M460),0)</f>
        <v>37</v>
      </c>
      <c r="P460" s="157" t="s">
        <v>1268</v>
      </c>
    </row>
    <row r="461" spans="3:20" ht="14.25" hidden="1" customHeight="1">
      <c r="C461" s="157" t="s">
        <v>1301</v>
      </c>
    </row>
    <row r="462" spans="3:20" ht="14.25" hidden="1" customHeight="1">
      <c r="C462" s="606" t="s">
        <v>1250</v>
      </c>
      <c r="D462" s="168" t="s">
        <v>1251</v>
      </c>
      <c r="E462" s="166" t="s">
        <v>1302</v>
      </c>
      <c r="F462" s="154"/>
      <c r="G462" s="154"/>
      <c r="H462" s="120" t="s">
        <v>1253</v>
      </c>
      <c r="I462" s="262">
        <v>0.42699999999999999</v>
      </c>
      <c r="J462" s="154" t="s">
        <v>78</v>
      </c>
      <c r="K462" s="262">
        <v>0.307</v>
      </c>
      <c r="L462" s="154" t="s">
        <v>1255</v>
      </c>
      <c r="M462" s="165">
        <f>L235</f>
        <v>28930</v>
      </c>
      <c r="N462" s="154" t="s">
        <v>1298</v>
      </c>
      <c r="O462" s="165">
        <f>ROUND((I462+K462)*M462,0)</f>
        <v>21235</v>
      </c>
      <c r="P462" s="157" t="s">
        <v>1303</v>
      </c>
    </row>
    <row r="463" spans="3:20" ht="14.25" hidden="1" customHeight="1">
      <c r="C463" s="606" t="s">
        <v>1258</v>
      </c>
      <c r="D463" s="168" t="s">
        <v>1251</v>
      </c>
      <c r="E463" s="157" t="s">
        <v>1304</v>
      </c>
      <c r="F463" s="155"/>
      <c r="G463" s="154"/>
      <c r="H463" s="120" t="s">
        <v>1300</v>
      </c>
      <c r="I463" s="141">
        <v>5116</v>
      </c>
      <c r="J463" s="154" t="s">
        <v>1254</v>
      </c>
      <c r="K463" s="159">
        <v>2917</v>
      </c>
      <c r="L463" s="154" t="s">
        <v>1305</v>
      </c>
      <c r="M463" s="210"/>
      <c r="N463" s="154" t="s">
        <v>1306</v>
      </c>
      <c r="O463" s="165">
        <f>ROUND(I463+K463*M463,0)</f>
        <v>5116</v>
      </c>
      <c r="P463" s="157" t="s">
        <v>1303</v>
      </c>
    </row>
    <row r="464" spans="3:20" ht="14.25" customHeight="1"/>
    <row r="465" spans="2:24" ht="14.25" hidden="1" customHeight="1">
      <c r="B465" s="143" t="s">
        <v>1307</v>
      </c>
      <c r="V465" s="159"/>
    </row>
    <row r="466" spans="2:24" ht="14.25" hidden="1" customHeight="1">
      <c r="B466" s="309" t="s">
        <v>1010</v>
      </c>
      <c r="C466" s="309"/>
      <c r="D466" s="251" t="s">
        <v>930</v>
      </c>
      <c r="E466" s="309"/>
      <c r="F466" s="309"/>
      <c r="G466" s="309" t="s">
        <v>1011</v>
      </c>
      <c r="H466" s="309"/>
      <c r="I466" s="309"/>
      <c r="J466" s="353" t="s">
        <v>931</v>
      </c>
      <c r="K466" s="353" t="s">
        <v>932</v>
      </c>
      <c r="L466" s="309" t="s">
        <v>1012</v>
      </c>
      <c r="M466" s="309"/>
      <c r="N466" s="309" t="s">
        <v>1013</v>
      </c>
      <c r="O466" s="309"/>
      <c r="P466" s="309" t="s">
        <v>1014</v>
      </c>
      <c r="Q466" s="309"/>
      <c r="R466" s="309"/>
      <c r="S466" s="309"/>
      <c r="T466" s="309"/>
      <c r="U466" s="309"/>
      <c r="V466" s="309"/>
      <c r="W466" s="309"/>
      <c r="X466" s="309"/>
    </row>
    <row r="467" spans="2:24" ht="14.25" hidden="1" customHeight="1">
      <c r="B467" s="459" t="s">
        <v>1308</v>
      </c>
      <c r="C467" s="459"/>
      <c r="D467" s="459"/>
      <c r="E467" s="459"/>
      <c r="F467" s="459"/>
      <c r="G467" s="459"/>
      <c r="H467" s="459"/>
      <c r="I467" s="459"/>
      <c r="J467" s="472" t="s">
        <v>1309</v>
      </c>
      <c r="K467" s="473">
        <f>R467</f>
        <v>0</v>
      </c>
      <c r="L467" s="587">
        <v>4112</v>
      </c>
      <c r="M467" s="587"/>
      <c r="N467" s="492">
        <f>K467*L467</f>
        <v>0</v>
      </c>
      <c r="O467" s="492"/>
      <c r="P467" s="534" t="s">
        <v>1310</v>
      </c>
      <c r="Q467" s="224"/>
      <c r="R467" s="450">
        <f>'[1]日数 (1)'!E848</f>
        <v>0</v>
      </c>
      <c r="S467" s="144" t="s">
        <v>1309</v>
      </c>
      <c r="T467" s="148"/>
      <c r="U467" s="148"/>
      <c r="V467" s="148"/>
      <c r="W467" s="148"/>
      <c r="X467" s="457"/>
    </row>
    <row r="468" spans="2:24" ht="14.25" hidden="1" customHeight="1">
      <c r="B468" s="459" t="s">
        <v>1311</v>
      </c>
      <c r="C468" s="459"/>
      <c r="D468" s="459"/>
      <c r="E468" s="459"/>
      <c r="F468" s="459"/>
      <c r="G468" s="459"/>
      <c r="H468" s="459"/>
      <c r="I468" s="459"/>
      <c r="J468" s="472"/>
      <c r="K468" s="526"/>
      <c r="L468" s="527"/>
      <c r="M468" s="527"/>
      <c r="N468" s="527"/>
      <c r="O468" s="527"/>
      <c r="P468" s="180" t="s">
        <v>1312</v>
      </c>
      <c r="Q468" s="304"/>
      <c r="R468" s="500">
        <v>5</v>
      </c>
      <c r="S468" s="148" t="s">
        <v>1313</v>
      </c>
      <c r="T468" s="607" t="s">
        <v>1314</v>
      </c>
      <c r="U468" s="148"/>
      <c r="V468" s="148"/>
      <c r="W468" s="148"/>
      <c r="X468" s="457"/>
    </row>
    <row r="469" spans="2:24" ht="14.25" hidden="1" customHeight="1">
      <c r="B469" s="455"/>
      <c r="C469" s="455"/>
      <c r="D469" s="251" t="s">
        <v>1315</v>
      </c>
      <c r="E469" s="309"/>
      <c r="F469" s="309"/>
      <c r="G469" s="312" t="s">
        <v>1316</v>
      </c>
      <c r="H469" s="408"/>
      <c r="I469" s="409"/>
      <c r="J469" s="350" t="s">
        <v>79</v>
      </c>
      <c r="K469" s="473">
        <f>Cel工事_継手部現場塗装工_数量_素地調整工</f>
        <v>0</v>
      </c>
      <c r="L469" s="492">
        <f>W469</f>
        <v>1288</v>
      </c>
      <c r="M469" s="492"/>
      <c r="N469" s="395">
        <f>K469*L469</f>
        <v>0</v>
      </c>
      <c r="O469" s="395"/>
      <c r="P469" s="500">
        <v>888.5</v>
      </c>
      <c r="Q469" s="149" t="s">
        <v>1317</v>
      </c>
      <c r="R469" s="149" t="s">
        <v>1318</v>
      </c>
      <c r="S469" s="150">
        <v>1.45</v>
      </c>
      <c r="T469" s="149" t="s">
        <v>323</v>
      </c>
      <c r="U469" s="500">
        <v>1</v>
      </c>
      <c r="V469" s="149" t="s">
        <v>1319</v>
      </c>
      <c r="W469" s="489">
        <f>ROUND(P469*S469*U469,0)</f>
        <v>1288</v>
      </c>
      <c r="X469" s="608" t="s">
        <v>1268</v>
      </c>
    </row>
    <row r="470" spans="2:24" ht="14.25" hidden="1" customHeight="1">
      <c r="B470" s="455"/>
      <c r="C470" s="455"/>
      <c r="D470" s="251" t="s">
        <v>1320</v>
      </c>
      <c r="E470" s="309"/>
      <c r="F470" s="309"/>
      <c r="G470" s="312" t="s">
        <v>1321</v>
      </c>
      <c r="H470" s="408"/>
      <c r="I470" s="409"/>
      <c r="J470" s="350" t="s">
        <v>79</v>
      </c>
      <c r="K470" s="473">
        <f>Cel工事_継手部現場塗装工_数量_素地調整工</f>
        <v>0</v>
      </c>
      <c r="L470" s="492">
        <f>W470</f>
        <v>10959</v>
      </c>
      <c r="M470" s="492"/>
      <c r="N470" s="395">
        <f>K470*L470</f>
        <v>0</v>
      </c>
      <c r="O470" s="395"/>
      <c r="P470" s="500">
        <v>3779</v>
      </c>
      <c r="Q470" s="149" t="s">
        <v>1317</v>
      </c>
      <c r="R470" s="149" t="s">
        <v>323</v>
      </c>
      <c r="S470" s="150">
        <v>1.45</v>
      </c>
      <c r="T470" s="149" t="s">
        <v>323</v>
      </c>
      <c r="U470" s="500">
        <v>2</v>
      </c>
      <c r="V470" s="149" t="s">
        <v>1319</v>
      </c>
      <c r="W470" s="489">
        <f>ROUND(P470*S470*U470,0)</f>
        <v>10959</v>
      </c>
      <c r="X470" s="608" t="s">
        <v>1268</v>
      </c>
    </row>
    <row r="471" spans="2:24" ht="14.25" hidden="1" customHeight="1">
      <c r="B471" s="455"/>
      <c r="C471" s="455"/>
      <c r="D471" s="251" t="s">
        <v>1322</v>
      </c>
      <c r="E471" s="309"/>
      <c r="F471" s="309"/>
      <c r="G471" s="310" t="s">
        <v>1323</v>
      </c>
      <c r="H471" s="311"/>
      <c r="I471" s="311"/>
      <c r="J471" s="350" t="s">
        <v>79</v>
      </c>
      <c r="K471" s="473">
        <f>Cel工事_継手部現場塗装工_数量_素地調整工</f>
        <v>0</v>
      </c>
      <c r="L471" s="492">
        <f>W471</f>
        <v>1494</v>
      </c>
      <c r="M471" s="492"/>
      <c r="N471" s="395">
        <f>K471*L471</f>
        <v>0</v>
      </c>
      <c r="O471" s="395"/>
      <c r="P471" s="500">
        <v>1030</v>
      </c>
      <c r="Q471" s="149" t="s">
        <v>1317</v>
      </c>
      <c r="R471" s="149" t="s">
        <v>1262</v>
      </c>
      <c r="S471" s="150">
        <v>1.45</v>
      </c>
      <c r="T471" s="149" t="s">
        <v>1262</v>
      </c>
      <c r="U471" s="500">
        <v>1</v>
      </c>
      <c r="V471" s="149" t="s">
        <v>1319</v>
      </c>
      <c r="W471" s="489">
        <f>ROUND(P471*S471*U471,0)</f>
        <v>1494</v>
      </c>
      <c r="X471" s="608" t="s">
        <v>1273</v>
      </c>
    </row>
    <row r="472" spans="2:24" ht="14.25" hidden="1" customHeight="1">
      <c r="B472" s="455"/>
      <c r="C472" s="455"/>
      <c r="D472" s="251" t="s">
        <v>1324</v>
      </c>
      <c r="E472" s="309"/>
      <c r="F472" s="309"/>
      <c r="G472" s="310" t="s">
        <v>1325</v>
      </c>
      <c r="H472" s="311"/>
      <c r="I472" s="311"/>
      <c r="J472" s="350" t="s">
        <v>79</v>
      </c>
      <c r="K472" s="473">
        <f>Cel工事_継手部現場塗装工_数量_素地調整工</f>
        <v>0</v>
      </c>
      <c r="L472" s="492">
        <f>W472</f>
        <v>2156</v>
      </c>
      <c r="M472" s="492"/>
      <c r="N472" s="395">
        <f>K472*L472</f>
        <v>0</v>
      </c>
      <c r="O472" s="395"/>
      <c r="P472" s="500">
        <v>1487</v>
      </c>
      <c r="Q472" s="149" t="s">
        <v>1317</v>
      </c>
      <c r="R472" s="149" t="s">
        <v>1262</v>
      </c>
      <c r="S472" s="150">
        <v>1.45</v>
      </c>
      <c r="T472" s="149" t="s">
        <v>1262</v>
      </c>
      <c r="U472" s="500">
        <v>1</v>
      </c>
      <c r="V472" s="149" t="s">
        <v>1319</v>
      </c>
      <c r="W472" s="489">
        <f>ROUND(P472*S472*U472,0)</f>
        <v>2156</v>
      </c>
      <c r="X472" s="608" t="s">
        <v>1273</v>
      </c>
    </row>
    <row r="473" spans="2:24" ht="14.25" hidden="1" customHeight="1">
      <c r="B473" s="455"/>
      <c r="C473" s="455"/>
      <c r="D473" s="455"/>
      <c r="E473" s="455"/>
      <c r="F473" s="455"/>
      <c r="G473" s="455"/>
      <c r="H473" s="455"/>
      <c r="I473" s="455"/>
      <c r="J473" s="609"/>
      <c r="K473" s="526"/>
      <c r="L473" s="527"/>
      <c r="M473" s="527"/>
      <c r="N473" s="527"/>
      <c r="O473" s="527"/>
      <c r="P473" s="180" t="s">
        <v>1312</v>
      </c>
      <c r="Q473" s="304"/>
      <c r="R473" s="500">
        <v>3</v>
      </c>
      <c r="S473" s="148" t="s">
        <v>1313</v>
      </c>
      <c r="T473" s="607" t="s">
        <v>1314</v>
      </c>
      <c r="U473" s="148"/>
      <c r="V473" s="148"/>
      <c r="W473" s="148"/>
      <c r="X473" s="457"/>
    </row>
    <row r="474" spans="2:24" ht="14.25" hidden="1" customHeight="1">
      <c r="B474" s="455"/>
      <c r="C474" s="455"/>
      <c r="D474" s="251" t="s">
        <v>1315</v>
      </c>
      <c r="E474" s="309"/>
      <c r="F474" s="309"/>
      <c r="G474" s="312" t="s">
        <v>1316</v>
      </c>
      <c r="H474" s="408"/>
      <c r="I474" s="409"/>
      <c r="J474" s="350" t="s">
        <v>1309</v>
      </c>
      <c r="K474" s="473"/>
      <c r="L474" s="492">
        <f>W474</f>
        <v>1288</v>
      </c>
      <c r="M474" s="492"/>
      <c r="N474" s="395">
        <f>K474*L474</f>
        <v>0</v>
      </c>
      <c r="O474" s="395"/>
      <c r="P474" s="500">
        <v>888.5</v>
      </c>
      <c r="Q474" s="149" t="s">
        <v>1317</v>
      </c>
      <c r="R474" s="149" t="s">
        <v>1318</v>
      </c>
      <c r="S474" s="150">
        <v>1.45</v>
      </c>
      <c r="T474" s="149" t="s">
        <v>1318</v>
      </c>
      <c r="U474" s="500">
        <v>1</v>
      </c>
      <c r="V474" s="149" t="s">
        <v>1319</v>
      </c>
      <c r="W474" s="489">
        <f>ROUND(P474*S474*U474,0)</f>
        <v>1288</v>
      </c>
      <c r="X474" s="608" t="s">
        <v>1264</v>
      </c>
    </row>
    <row r="475" spans="2:24" ht="14.25" hidden="1" customHeight="1">
      <c r="B475" s="458"/>
      <c r="C475" s="458"/>
      <c r="D475" s="251" t="s">
        <v>1326</v>
      </c>
      <c r="E475" s="309"/>
      <c r="F475" s="309"/>
      <c r="G475" s="312" t="s">
        <v>1321</v>
      </c>
      <c r="H475" s="408"/>
      <c r="I475" s="409"/>
      <c r="J475" s="350" t="s">
        <v>1309</v>
      </c>
      <c r="K475" s="473"/>
      <c r="L475" s="492">
        <f>W475</f>
        <v>10959</v>
      </c>
      <c r="M475" s="492"/>
      <c r="N475" s="395">
        <f>K475*L475</f>
        <v>0</v>
      </c>
      <c r="O475" s="395"/>
      <c r="P475" s="500">
        <v>3779</v>
      </c>
      <c r="Q475" s="149" t="s">
        <v>1317</v>
      </c>
      <c r="R475" s="149" t="s">
        <v>1327</v>
      </c>
      <c r="S475" s="150">
        <v>1.45</v>
      </c>
      <c r="T475" s="149" t="s">
        <v>323</v>
      </c>
      <c r="U475" s="500">
        <v>2</v>
      </c>
      <c r="V475" s="149" t="s">
        <v>1319</v>
      </c>
      <c r="W475" s="489">
        <f>ROUND(P475*S475*U475,0)</f>
        <v>10959</v>
      </c>
      <c r="X475" s="608" t="s">
        <v>1268</v>
      </c>
    </row>
    <row r="476" spans="2:24" ht="14.25" hidden="1" customHeight="1">
      <c r="B476" s="309"/>
      <c r="C476" s="309"/>
      <c r="D476" s="309" t="s">
        <v>606</v>
      </c>
      <c r="E476" s="309"/>
      <c r="F476" s="309"/>
      <c r="G476" s="309"/>
      <c r="H476" s="309"/>
      <c r="I476" s="309"/>
      <c r="J476" s="353"/>
      <c r="K476" s="394">
        <f>'[1]日数 (1)'!E848</f>
        <v>0</v>
      </c>
      <c r="L476" s="395">
        <v>0</v>
      </c>
      <c r="M476" s="396"/>
      <c r="N476" s="610">
        <f>SUM(N467:O475)</f>
        <v>0</v>
      </c>
      <c r="O476" s="395"/>
      <c r="P476" s="478"/>
      <c r="Q476" s="478"/>
      <c r="R476" s="478"/>
      <c r="S476" s="478"/>
      <c r="T476" s="478"/>
      <c r="U476" s="478"/>
      <c r="V476" s="478"/>
      <c r="W476" s="478"/>
      <c r="X476" s="446"/>
    </row>
    <row r="477" spans="2:24" ht="14.25" hidden="1" customHeight="1"/>
    <row r="478" spans="2:24" ht="14.25" hidden="1" customHeight="1"/>
    <row r="479" spans="2:24" ht="14.25" customHeight="1">
      <c r="B479" s="143" t="s">
        <v>1328</v>
      </c>
      <c r="V479" s="159"/>
    </row>
    <row r="480" spans="2:24" ht="14.25" customHeight="1">
      <c r="B480" s="309" t="s">
        <v>1010</v>
      </c>
      <c r="C480" s="309"/>
      <c r="D480" s="251" t="s">
        <v>930</v>
      </c>
      <c r="E480" s="309"/>
      <c r="F480" s="309"/>
      <c r="G480" s="309" t="s">
        <v>1011</v>
      </c>
      <c r="H480" s="309"/>
      <c r="I480" s="309"/>
      <c r="J480" s="353" t="s">
        <v>931</v>
      </c>
      <c r="K480" s="353" t="s">
        <v>932</v>
      </c>
      <c r="L480" s="309" t="s">
        <v>1012</v>
      </c>
      <c r="M480" s="309"/>
      <c r="N480" s="309" t="s">
        <v>1013</v>
      </c>
      <c r="O480" s="309"/>
      <c r="P480" s="309" t="s">
        <v>1014</v>
      </c>
      <c r="Q480" s="309"/>
      <c r="R480" s="309"/>
      <c r="S480" s="309"/>
      <c r="T480" s="309"/>
      <c r="U480" s="309"/>
      <c r="V480" s="309"/>
      <c r="W480" s="309"/>
      <c r="X480" s="309"/>
    </row>
    <row r="481" spans="2:24" ht="14.25" customHeight="1">
      <c r="B481" s="459" t="s">
        <v>1015</v>
      </c>
      <c r="C481" s="459"/>
      <c r="D481" s="309" t="s">
        <v>1016</v>
      </c>
      <c r="E481" s="309"/>
      <c r="F481" s="309"/>
      <c r="G481" s="444" t="s">
        <v>1017</v>
      </c>
      <c r="H481" s="445">
        <v>1</v>
      </c>
      <c r="I481" s="446" t="s">
        <v>1018</v>
      </c>
      <c r="J481" s="353" t="s">
        <v>1019</v>
      </c>
      <c r="K481" s="394">
        <f>H481*R481</f>
        <v>1.8</v>
      </c>
      <c r="L481" s="395">
        <f>$L$234</f>
        <v>33710</v>
      </c>
      <c r="M481" s="395"/>
      <c r="N481" s="395">
        <f>K481*L481</f>
        <v>60678</v>
      </c>
      <c r="O481" s="395"/>
      <c r="P481" s="224" t="s">
        <v>1053</v>
      </c>
      <c r="Q481" s="224"/>
      <c r="R481" s="450">
        <f>'[1]日数 (1)'!H874</f>
        <v>1.8</v>
      </c>
      <c r="S481" s="453" t="s">
        <v>183</v>
      </c>
      <c r="T481" s="318" t="s">
        <v>1022</v>
      </c>
      <c r="U481" s="452" t="s">
        <v>1169</v>
      </c>
      <c r="V481" s="452"/>
      <c r="W481" s="453"/>
      <c r="X481" s="454"/>
    </row>
    <row r="482" spans="2:24" ht="14.25" customHeight="1">
      <c r="B482" s="455"/>
      <c r="C482" s="455"/>
      <c r="D482" s="309" t="s">
        <v>1024</v>
      </c>
      <c r="E482" s="309"/>
      <c r="F482" s="309"/>
      <c r="G482" s="444" t="s">
        <v>1017</v>
      </c>
      <c r="H482" s="445">
        <v>2</v>
      </c>
      <c r="I482" s="446" t="s">
        <v>1018</v>
      </c>
      <c r="J482" s="353" t="s">
        <v>1025</v>
      </c>
      <c r="K482" s="394">
        <f>H482*R481</f>
        <v>3.6</v>
      </c>
      <c r="L482" s="395">
        <f>$L$235</f>
        <v>28930</v>
      </c>
      <c r="M482" s="395"/>
      <c r="N482" s="395">
        <f>K482*L482</f>
        <v>104148</v>
      </c>
      <c r="O482" s="395"/>
      <c r="P482" s="456"/>
      <c r="Q482" s="148"/>
      <c r="R482" s="148"/>
      <c r="S482" s="148"/>
      <c r="T482" s="148"/>
      <c r="U482" s="148"/>
      <c r="V482" s="148"/>
      <c r="W482" s="148"/>
      <c r="X482" s="457"/>
    </row>
    <row r="483" spans="2:24" ht="14.25" customHeight="1">
      <c r="B483" s="458"/>
      <c r="C483" s="458"/>
      <c r="D483" s="309" t="s">
        <v>1026</v>
      </c>
      <c r="E483" s="309"/>
      <c r="F483" s="309"/>
      <c r="G483" s="444" t="s">
        <v>1017</v>
      </c>
      <c r="H483" s="445">
        <v>1</v>
      </c>
      <c r="I483" s="446" t="s">
        <v>1018</v>
      </c>
      <c r="J483" s="353" t="s">
        <v>1025</v>
      </c>
      <c r="K483" s="394">
        <f>H483*R481</f>
        <v>1.8</v>
      </c>
      <c r="L483" s="395">
        <f>$L$236</f>
        <v>18800</v>
      </c>
      <c r="M483" s="395"/>
      <c r="N483" s="395">
        <f>K483*L483</f>
        <v>33840</v>
      </c>
      <c r="O483" s="395"/>
      <c r="P483" s="456"/>
      <c r="Q483" s="148"/>
      <c r="R483" s="148"/>
      <c r="S483" s="148"/>
      <c r="T483" s="148"/>
      <c r="U483" s="148"/>
      <c r="V483" s="148"/>
      <c r="W483" s="148"/>
      <c r="X483" s="457"/>
    </row>
    <row r="484" spans="2:24" ht="14.25" customHeight="1">
      <c r="B484" s="455"/>
      <c r="C484" s="455"/>
      <c r="D484" s="309" t="s">
        <v>1059</v>
      </c>
      <c r="E484" s="309"/>
      <c r="F484" s="309"/>
      <c r="G484" s="309"/>
      <c r="H484" s="309"/>
      <c r="I484" s="309"/>
      <c r="J484" s="353" t="s">
        <v>1025</v>
      </c>
      <c r="K484" s="394">
        <f>T484</f>
        <v>3</v>
      </c>
      <c r="L484" s="494">
        <v>9830</v>
      </c>
      <c r="M484" s="494"/>
      <c r="N484" s="395">
        <f>K484*L484</f>
        <v>29490</v>
      </c>
      <c r="O484" s="395"/>
      <c r="P484" s="151">
        <f>R481</f>
        <v>1.8</v>
      </c>
      <c r="Q484" s="149" t="s">
        <v>323</v>
      </c>
      <c r="R484" s="150">
        <v>1.7</v>
      </c>
      <c r="S484" s="149" t="s">
        <v>1329</v>
      </c>
      <c r="T484" s="186">
        <f>ROUND(P484*R484,0)</f>
        <v>3</v>
      </c>
      <c r="U484" s="146" t="s">
        <v>1060</v>
      </c>
      <c r="V484" s="148"/>
      <c r="W484" s="148"/>
      <c r="X484" s="457"/>
    </row>
    <row r="485" spans="2:24" ht="14.25" customHeight="1">
      <c r="B485" s="455"/>
      <c r="C485" s="455"/>
      <c r="D485" s="309" t="s">
        <v>1061</v>
      </c>
      <c r="E485" s="309"/>
      <c r="F485" s="309"/>
      <c r="G485" s="251" t="s">
        <v>1062</v>
      </c>
      <c r="H485" s="309"/>
      <c r="I485" s="309"/>
      <c r="J485" s="353" t="s">
        <v>1025</v>
      </c>
      <c r="K485" s="394">
        <f>T484</f>
        <v>3</v>
      </c>
      <c r="L485" s="494">
        <v>6300</v>
      </c>
      <c r="M485" s="494"/>
      <c r="N485" s="395">
        <f>K485*L485</f>
        <v>18900</v>
      </c>
      <c r="O485" s="395"/>
      <c r="P485" s="456"/>
      <c r="Q485" s="148"/>
      <c r="R485" s="148"/>
      <c r="S485" s="148"/>
      <c r="T485" s="148"/>
      <c r="U485" s="148"/>
      <c r="V485" s="148"/>
      <c r="W485" s="148"/>
      <c r="X485" s="457"/>
    </row>
    <row r="486" spans="2:24" ht="14.25" customHeight="1">
      <c r="B486" s="459" t="s">
        <v>1035</v>
      </c>
      <c r="C486" s="459"/>
      <c r="D486" s="459"/>
      <c r="E486" s="459"/>
      <c r="F486" s="459"/>
      <c r="G486" s="459"/>
      <c r="H486" s="459"/>
      <c r="I486" s="459"/>
      <c r="J486" s="461" t="s">
        <v>1036</v>
      </c>
      <c r="K486" s="526">
        <v>1</v>
      </c>
      <c r="L486" s="527"/>
      <c r="M486" s="527"/>
      <c r="N486" s="492">
        <f>(N481+N482+N483)*(R486/100)</f>
        <v>19866.600000000002</v>
      </c>
      <c r="O486" s="492"/>
      <c r="P486" s="150" t="s">
        <v>1015</v>
      </c>
      <c r="Q486" s="150" t="s">
        <v>32</v>
      </c>
      <c r="R486" s="150">
        <v>10</v>
      </c>
      <c r="S486" s="148" t="s">
        <v>1038</v>
      </c>
      <c r="T486" s="148"/>
      <c r="U486" s="148"/>
      <c r="V486" s="148"/>
      <c r="W486" s="148"/>
      <c r="X486" s="457"/>
    </row>
    <row r="487" spans="2:24" ht="14.25" customHeight="1">
      <c r="B487" s="431"/>
      <c r="C487" s="433"/>
      <c r="D487" s="309" t="s">
        <v>606</v>
      </c>
      <c r="E487" s="309"/>
      <c r="F487" s="309"/>
      <c r="G487" s="309"/>
      <c r="H487" s="309"/>
      <c r="I487" s="309"/>
      <c r="J487" s="353"/>
      <c r="K487" s="394">
        <f>'[1]日数 (1)'!I871</f>
        <v>9</v>
      </c>
      <c r="L487" s="395">
        <f>INT(Cel工事_桁端処理工_金額計 / Cel工事_桁端処理工_数量計)</f>
        <v>29658</v>
      </c>
      <c r="M487" s="396"/>
      <c r="N487" s="395">
        <f>SUM(N481:O486)</f>
        <v>266922.59999999998</v>
      </c>
      <c r="O487" s="395"/>
      <c r="P487" s="477"/>
      <c r="Q487" s="478"/>
      <c r="R487" s="478"/>
      <c r="S487" s="478"/>
      <c r="T487" s="478"/>
      <c r="U487" s="478"/>
      <c r="V487" s="478"/>
      <c r="W487" s="478"/>
      <c r="X487" s="446"/>
    </row>
    <row r="488" spans="2:24" ht="14.25" customHeight="1">
      <c r="B488" s="150"/>
      <c r="C488" s="150"/>
      <c r="D488" s="150"/>
      <c r="E488" s="150"/>
      <c r="F488" s="150"/>
      <c r="G488" s="150"/>
      <c r="H488" s="150"/>
      <c r="I488" s="150"/>
      <c r="J488" s="150"/>
      <c r="K488" s="147"/>
      <c r="L488" s="528"/>
      <c r="M488" s="528"/>
      <c r="N488" s="529"/>
      <c r="O488" s="529"/>
      <c r="P488" s="148"/>
      <c r="Q488" s="148"/>
      <c r="R488" s="148"/>
      <c r="S488" s="148"/>
      <c r="T488" s="148"/>
      <c r="U488" s="148"/>
      <c r="V488" s="148"/>
      <c r="W488" s="148"/>
      <c r="X488" s="148"/>
    </row>
    <row r="489" spans="2:24" ht="14.25" customHeight="1"/>
    <row r="490" spans="2:24" ht="14.25" hidden="1" customHeight="1">
      <c r="B490" s="143"/>
      <c r="V490" s="159"/>
    </row>
    <row r="491" spans="2:24" ht="14.25" hidden="1" customHeight="1">
      <c r="B491" s="309" t="s">
        <v>1010</v>
      </c>
      <c r="C491" s="309"/>
      <c r="D491" s="251" t="s">
        <v>1330</v>
      </c>
      <c r="E491" s="309"/>
      <c r="F491" s="309"/>
      <c r="G491" s="309" t="s">
        <v>1011</v>
      </c>
      <c r="H491" s="309"/>
      <c r="I491" s="309"/>
      <c r="J491" s="353" t="s">
        <v>931</v>
      </c>
      <c r="K491" s="353" t="s">
        <v>932</v>
      </c>
      <c r="L491" s="309" t="s">
        <v>1012</v>
      </c>
      <c r="M491" s="309"/>
      <c r="N491" s="309" t="s">
        <v>1013</v>
      </c>
      <c r="O491" s="309"/>
      <c r="P491" s="309" t="s">
        <v>1014</v>
      </c>
      <c r="Q491" s="309"/>
      <c r="R491" s="309"/>
      <c r="S491" s="309"/>
      <c r="T491" s="309"/>
      <c r="U491" s="309"/>
      <c r="V491" s="309"/>
      <c r="W491" s="309"/>
      <c r="X491" s="309"/>
    </row>
    <row r="492" spans="2:24" ht="14.25" hidden="1" customHeight="1">
      <c r="B492" s="459" t="s">
        <v>1015</v>
      </c>
      <c r="C492" s="459"/>
      <c r="D492" s="309" t="s">
        <v>1016</v>
      </c>
      <c r="E492" s="309"/>
      <c r="F492" s="309"/>
      <c r="G492" s="444" t="s">
        <v>1017</v>
      </c>
      <c r="H492" s="445">
        <v>1</v>
      </c>
      <c r="I492" s="446" t="s">
        <v>1018</v>
      </c>
      <c r="J492" s="353" t="s">
        <v>1019</v>
      </c>
      <c r="K492" s="394">
        <f>H492*R492</f>
        <v>0</v>
      </c>
      <c r="L492" s="395">
        <f>$L$234</f>
        <v>33710</v>
      </c>
      <c r="M492" s="395"/>
      <c r="N492" s="395">
        <f>K492*L492</f>
        <v>0</v>
      </c>
      <c r="O492" s="395"/>
      <c r="P492" s="224" t="s">
        <v>1053</v>
      </c>
      <c r="Q492" s="224"/>
      <c r="R492" s="450"/>
      <c r="S492" s="453" t="s">
        <v>183</v>
      </c>
      <c r="T492" s="318"/>
      <c r="U492" s="452" t="s">
        <v>1094</v>
      </c>
      <c r="V492" s="452"/>
      <c r="W492" s="453"/>
      <c r="X492" s="454"/>
    </row>
    <row r="493" spans="2:24" ht="14.25" hidden="1" customHeight="1">
      <c r="B493" s="455"/>
      <c r="C493" s="455"/>
      <c r="D493" s="309" t="s">
        <v>1024</v>
      </c>
      <c r="E493" s="309"/>
      <c r="F493" s="309"/>
      <c r="G493" s="444" t="s">
        <v>1017</v>
      </c>
      <c r="H493" s="445">
        <v>3</v>
      </c>
      <c r="I493" s="446" t="s">
        <v>1018</v>
      </c>
      <c r="J493" s="353" t="s">
        <v>1025</v>
      </c>
      <c r="K493" s="394">
        <f>H493*R492</f>
        <v>0</v>
      </c>
      <c r="L493" s="395">
        <f>$L$235</f>
        <v>28930</v>
      </c>
      <c r="M493" s="395"/>
      <c r="N493" s="395">
        <f>K493*L493</f>
        <v>0</v>
      </c>
      <c r="O493" s="395"/>
      <c r="P493" s="148"/>
      <c r="Q493" s="148"/>
      <c r="R493" s="148"/>
      <c r="S493" s="148"/>
      <c r="T493" s="148"/>
      <c r="U493" s="148"/>
      <c r="V493" s="148"/>
      <c r="W493" s="148"/>
      <c r="X493" s="457"/>
    </row>
    <row r="494" spans="2:24" ht="14.25" hidden="1" customHeight="1">
      <c r="B494" s="458"/>
      <c r="C494" s="458"/>
      <c r="D494" s="309" t="s">
        <v>1026</v>
      </c>
      <c r="E494" s="309"/>
      <c r="F494" s="309"/>
      <c r="G494" s="444" t="s">
        <v>1017</v>
      </c>
      <c r="H494" s="445">
        <v>3</v>
      </c>
      <c r="I494" s="446" t="s">
        <v>1018</v>
      </c>
      <c r="J494" s="353" t="s">
        <v>1025</v>
      </c>
      <c r="K494" s="394">
        <f>H494*R492</f>
        <v>0</v>
      </c>
      <c r="L494" s="395">
        <f>$L$236</f>
        <v>18800</v>
      </c>
      <c r="M494" s="395"/>
      <c r="N494" s="395">
        <f>K494*L494</f>
        <v>0</v>
      </c>
      <c r="O494" s="395"/>
      <c r="P494" s="148"/>
      <c r="Q494" s="148"/>
      <c r="R494" s="148"/>
      <c r="S494" s="148"/>
      <c r="T494" s="148"/>
      <c r="U494" s="148"/>
      <c r="V494" s="148"/>
      <c r="W494" s="148"/>
      <c r="X494" s="457"/>
    </row>
    <row r="495" spans="2:24" ht="14.25" hidden="1" customHeight="1">
      <c r="B495" s="459" t="s">
        <v>1027</v>
      </c>
      <c r="C495" s="459"/>
      <c r="D495" s="487" t="s">
        <v>1331</v>
      </c>
      <c r="E495" s="488"/>
      <c r="F495" s="488"/>
      <c r="G495" s="524"/>
      <c r="H495" s="509"/>
      <c r="I495" s="510"/>
      <c r="J495" s="461" t="s">
        <v>183</v>
      </c>
      <c r="K495" s="473">
        <f>ROUND(R492,0)</f>
        <v>0</v>
      </c>
      <c r="L495" s="492"/>
      <c r="M495" s="492"/>
      <c r="N495" s="492">
        <f>K495*L495</f>
        <v>0</v>
      </c>
      <c r="O495" s="492"/>
      <c r="P495" s="148"/>
      <c r="Q495" s="148"/>
      <c r="R495" s="148"/>
      <c r="S495" s="148"/>
      <c r="T495" s="148"/>
      <c r="U495" s="148"/>
      <c r="V495" s="148"/>
      <c r="W495" s="148"/>
      <c r="X495" s="457"/>
    </row>
    <row r="496" spans="2:24" ht="14.25" hidden="1" customHeight="1">
      <c r="B496" s="455"/>
      <c r="C496" s="455"/>
      <c r="D496" s="458"/>
      <c r="E496" s="458"/>
      <c r="F496" s="458"/>
      <c r="G496" s="611"/>
      <c r="H496" s="511"/>
      <c r="I496" s="511"/>
      <c r="J496" s="468"/>
      <c r="K496" s="469"/>
      <c r="L496" s="493"/>
      <c r="M496" s="493"/>
      <c r="N496" s="493"/>
      <c r="O496" s="493"/>
      <c r="P496" s="148"/>
      <c r="Q496" s="148"/>
      <c r="R496" s="148"/>
      <c r="S496" s="148"/>
      <c r="T496" s="148"/>
      <c r="U496" s="148"/>
      <c r="V496" s="148"/>
      <c r="W496" s="148"/>
      <c r="X496" s="457"/>
    </row>
    <row r="497" spans="2:24" ht="14.25" hidden="1" customHeight="1">
      <c r="B497" s="455"/>
      <c r="C497" s="455"/>
      <c r="D497" s="309" t="s">
        <v>1059</v>
      </c>
      <c r="E497" s="309"/>
      <c r="F497" s="309"/>
      <c r="G497" s="309"/>
      <c r="H497" s="309"/>
      <c r="I497" s="309"/>
      <c r="J497" s="353" t="s">
        <v>1025</v>
      </c>
      <c r="K497" s="394">
        <f>T497</f>
        <v>0</v>
      </c>
      <c r="L497" s="494">
        <v>9830</v>
      </c>
      <c r="M497" s="494"/>
      <c r="N497" s="395">
        <f>K497*L497</f>
        <v>0</v>
      </c>
      <c r="O497" s="395"/>
      <c r="P497" s="151">
        <f>R492</f>
        <v>0</v>
      </c>
      <c r="Q497" s="149" t="s">
        <v>32</v>
      </c>
      <c r="R497" s="150">
        <v>1.7</v>
      </c>
      <c r="S497" s="149" t="s">
        <v>182</v>
      </c>
      <c r="T497" s="186">
        <f>ROUND(P497*R497,0)</f>
        <v>0</v>
      </c>
      <c r="U497" s="146" t="s">
        <v>183</v>
      </c>
      <c r="V497" s="148"/>
      <c r="W497" s="148"/>
      <c r="X497" s="457"/>
    </row>
    <row r="498" spans="2:24" ht="14.25" hidden="1" customHeight="1">
      <c r="B498" s="458"/>
      <c r="C498" s="458"/>
      <c r="D498" s="309" t="s">
        <v>1061</v>
      </c>
      <c r="E498" s="309"/>
      <c r="F498" s="309"/>
      <c r="G498" s="251" t="s">
        <v>1332</v>
      </c>
      <c r="H498" s="309"/>
      <c r="I498" s="309"/>
      <c r="J498" s="353" t="s">
        <v>1025</v>
      </c>
      <c r="K498" s="394">
        <f>T497</f>
        <v>0</v>
      </c>
      <c r="L498" s="494">
        <v>6300</v>
      </c>
      <c r="M498" s="494"/>
      <c r="N498" s="395">
        <f>K498*L498</f>
        <v>0</v>
      </c>
      <c r="O498" s="395"/>
      <c r="P498" s="148"/>
      <c r="Q498" s="148"/>
      <c r="R498" s="148"/>
      <c r="S498" s="148"/>
      <c r="T498" s="148"/>
      <c r="U498" s="148"/>
      <c r="V498" s="148"/>
      <c r="W498" s="148"/>
      <c r="X498" s="457"/>
    </row>
    <row r="499" spans="2:24" ht="14.25" hidden="1" customHeight="1">
      <c r="B499" s="309" t="s">
        <v>1035</v>
      </c>
      <c r="C499" s="309"/>
      <c r="D499" s="309"/>
      <c r="E499" s="309"/>
      <c r="F499" s="309"/>
      <c r="G499" s="309"/>
      <c r="H499" s="309"/>
      <c r="I499" s="309"/>
      <c r="J499" s="353" t="s">
        <v>1025</v>
      </c>
      <c r="K499" s="406">
        <v>1</v>
      </c>
      <c r="L499" s="396"/>
      <c r="M499" s="396"/>
      <c r="N499" s="395">
        <f>(N492+N493+N494)*(R499/100)</f>
        <v>0</v>
      </c>
      <c r="O499" s="395"/>
      <c r="P499" s="150" t="s">
        <v>1015</v>
      </c>
      <c r="Q499" s="150" t="s">
        <v>32</v>
      </c>
      <c r="R499" s="150">
        <v>5</v>
      </c>
      <c r="S499" s="148" t="s">
        <v>1038</v>
      </c>
      <c r="T499" s="148"/>
      <c r="U499" s="148"/>
      <c r="V499" s="148"/>
      <c r="W499" s="148"/>
      <c r="X499" s="457"/>
    </row>
    <row r="500" spans="2:24" ht="14.25" hidden="1" customHeight="1">
      <c r="B500" s="309"/>
      <c r="C500" s="309"/>
      <c r="D500" s="309" t="s">
        <v>606</v>
      </c>
      <c r="E500" s="309"/>
      <c r="F500" s="309"/>
      <c r="G500" s="309"/>
      <c r="H500" s="309"/>
      <c r="I500" s="309"/>
      <c r="J500" s="353"/>
      <c r="K500" s="406"/>
      <c r="L500" s="396"/>
      <c r="M500" s="396"/>
      <c r="N500" s="395">
        <f>SUM(N492:O499)</f>
        <v>0</v>
      </c>
      <c r="O500" s="395"/>
      <c r="P500" s="478"/>
      <c r="Q500" s="478"/>
      <c r="R500" s="478"/>
      <c r="S500" s="478"/>
      <c r="T500" s="478"/>
      <c r="U500" s="478"/>
      <c r="V500" s="478"/>
      <c r="W500" s="478"/>
      <c r="X500" s="446"/>
    </row>
    <row r="501" spans="2:24" ht="14.25" hidden="1" customHeight="1"/>
    <row r="502" spans="2:24" ht="14.25" hidden="1" customHeight="1">
      <c r="B502" s="143" t="s">
        <v>1333</v>
      </c>
      <c r="V502" s="159"/>
    </row>
    <row r="503" spans="2:24" ht="14.25" hidden="1" customHeight="1">
      <c r="B503" s="309" t="s">
        <v>1010</v>
      </c>
      <c r="C503" s="309"/>
      <c r="D503" s="251" t="s">
        <v>1330</v>
      </c>
      <c r="E503" s="309"/>
      <c r="F503" s="309"/>
      <c r="G503" s="309" t="s">
        <v>1011</v>
      </c>
      <c r="H503" s="309"/>
      <c r="I503" s="309"/>
      <c r="J503" s="353" t="s">
        <v>931</v>
      </c>
      <c r="K503" s="353" t="s">
        <v>932</v>
      </c>
      <c r="L503" s="309" t="s">
        <v>1012</v>
      </c>
      <c r="M503" s="309"/>
      <c r="N503" s="309" t="s">
        <v>1013</v>
      </c>
      <c r="O503" s="309"/>
      <c r="P503" s="309" t="s">
        <v>1014</v>
      </c>
      <c r="Q503" s="309"/>
      <c r="R503" s="309"/>
      <c r="S503" s="309"/>
      <c r="T503" s="309"/>
      <c r="U503" s="309"/>
      <c r="V503" s="309"/>
      <c r="W503" s="309"/>
      <c r="X503" s="309"/>
    </row>
    <row r="504" spans="2:24" ht="14.25" hidden="1" customHeight="1">
      <c r="B504" s="459" t="s">
        <v>1015</v>
      </c>
      <c r="C504" s="459"/>
      <c r="D504" s="309" t="s">
        <v>1026</v>
      </c>
      <c r="E504" s="309"/>
      <c r="F504" s="309"/>
      <c r="G504" s="444" t="s">
        <v>1017</v>
      </c>
      <c r="H504" s="445">
        <v>4</v>
      </c>
      <c r="I504" s="446" t="s">
        <v>1018</v>
      </c>
      <c r="J504" s="353" t="s">
        <v>1025</v>
      </c>
      <c r="K504" s="394">
        <f>H504*R504</f>
        <v>0</v>
      </c>
      <c r="L504" s="395">
        <f>$L$236</f>
        <v>18800</v>
      </c>
      <c r="M504" s="395"/>
      <c r="N504" s="395">
        <f>K504*L504</f>
        <v>0</v>
      </c>
      <c r="O504" s="395"/>
      <c r="P504" s="442" t="s">
        <v>1053</v>
      </c>
      <c r="Q504" s="224"/>
      <c r="R504" s="450"/>
      <c r="S504" s="453" t="s">
        <v>183</v>
      </c>
      <c r="T504" s="318" t="str">
        <f>T481</f>
        <v>R2</v>
      </c>
      <c r="U504" s="452" t="s">
        <v>1169</v>
      </c>
      <c r="V504" s="452"/>
      <c r="W504" s="148"/>
      <c r="X504" s="457"/>
    </row>
    <row r="505" spans="2:24" ht="14.25" hidden="1" customHeight="1">
      <c r="B505" s="459" t="s">
        <v>1027</v>
      </c>
      <c r="C505" s="459"/>
      <c r="D505" s="309" t="s">
        <v>1059</v>
      </c>
      <c r="E505" s="309"/>
      <c r="F505" s="309"/>
      <c r="G505" s="309"/>
      <c r="H505" s="309"/>
      <c r="I505" s="309"/>
      <c r="J505" s="353" t="s">
        <v>1025</v>
      </c>
      <c r="K505" s="394">
        <f>T505</f>
        <v>0</v>
      </c>
      <c r="L505" s="494">
        <v>9830</v>
      </c>
      <c r="M505" s="494"/>
      <c r="N505" s="395">
        <f>K505*L505</f>
        <v>0</v>
      </c>
      <c r="O505" s="395"/>
      <c r="P505" s="151">
        <f>R504</f>
        <v>0</v>
      </c>
      <c r="Q505" s="149" t="s">
        <v>32</v>
      </c>
      <c r="R505" s="150">
        <v>1.7</v>
      </c>
      <c r="S505" s="149" t="s">
        <v>182</v>
      </c>
      <c r="T505" s="186">
        <f>ROUND(P505*R505,0)</f>
        <v>0</v>
      </c>
      <c r="U505" s="146" t="s">
        <v>183</v>
      </c>
      <c r="V505" s="148"/>
      <c r="W505" s="148"/>
      <c r="X505" s="457"/>
    </row>
    <row r="506" spans="2:24" ht="14.25" hidden="1" customHeight="1">
      <c r="B506" s="458"/>
      <c r="C506" s="458"/>
      <c r="D506" s="309" t="s">
        <v>1061</v>
      </c>
      <c r="E506" s="309"/>
      <c r="F506" s="309"/>
      <c r="G506" s="251" t="s">
        <v>1334</v>
      </c>
      <c r="H506" s="309"/>
      <c r="I506" s="309"/>
      <c r="J506" s="353" t="s">
        <v>1025</v>
      </c>
      <c r="K506" s="394">
        <f>T505</f>
        <v>0</v>
      </c>
      <c r="L506" s="494">
        <v>6300</v>
      </c>
      <c r="M506" s="494"/>
      <c r="N506" s="395">
        <f>K506*L506</f>
        <v>0</v>
      </c>
      <c r="O506" s="395"/>
      <c r="P506" s="148"/>
      <c r="Q506" s="148"/>
      <c r="R506" s="148"/>
      <c r="S506" s="148"/>
      <c r="T506" s="148"/>
      <c r="U506" s="148"/>
      <c r="V506" s="148"/>
      <c r="W506" s="148"/>
      <c r="X506" s="457"/>
    </row>
    <row r="507" spans="2:24" ht="14.25" hidden="1" customHeight="1">
      <c r="B507" s="309" t="s">
        <v>1217</v>
      </c>
      <c r="C507" s="309"/>
      <c r="D507" s="251" t="s">
        <v>1335</v>
      </c>
      <c r="E507" s="309"/>
      <c r="F507" s="309"/>
      <c r="G507" s="309"/>
      <c r="H507" s="309"/>
      <c r="I507" s="309"/>
      <c r="J507" s="353" t="s">
        <v>1036</v>
      </c>
      <c r="K507" s="406">
        <v>1</v>
      </c>
      <c r="L507" s="396"/>
      <c r="M507" s="396"/>
      <c r="N507" s="395">
        <f>P507*(R507+T507)*V507</f>
        <v>0</v>
      </c>
      <c r="O507" s="395"/>
      <c r="P507" s="612"/>
      <c r="Q507" s="149" t="s">
        <v>1336</v>
      </c>
      <c r="R507" s="150">
        <v>1</v>
      </c>
      <c r="S507" s="149" t="s">
        <v>78</v>
      </c>
      <c r="T507" s="613">
        <v>0.05</v>
      </c>
      <c r="U507" s="149" t="s">
        <v>1297</v>
      </c>
      <c r="V507" s="614">
        <v>0</v>
      </c>
      <c r="W507" s="586" t="s">
        <v>1303</v>
      </c>
      <c r="X507" s="506"/>
    </row>
    <row r="508" spans="2:24" ht="14.25" hidden="1" customHeight="1">
      <c r="B508" s="309" t="s">
        <v>1035</v>
      </c>
      <c r="C508" s="309"/>
      <c r="D508" s="309"/>
      <c r="E508" s="309"/>
      <c r="F508" s="309"/>
      <c r="G508" s="309"/>
      <c r="H508" s="309"/>
      <c r="I508" s="309"/>
      <c r="J508" s="353" t="s">
        <v>1025</v>
      </c>
      <c r="K508" s="406">
        <v>1</v>
      </c>
      <c r="L508" s="396"/>
      <c r="M508" s="396"/>
      <c r="N508" s="395">
        <f>(N504+N507)*(S508/100)</f>
        <v>0</v>
      </c>
      <c r="O508" s="395"/>
      <c r="P508" s="597" t="s">
        <v>1337</v>
      </c>
      <c r="Q508" s="222"/>
      <c r="R508" s="150" t="s">
        <v>32</v>
      </c>
      <c r="S508" s="150">
        <v>1</v>
      </c>
      <c r="T508" s="148" t="s">
        <v>1038</v>
      </c>
      <c r="U508" s="148"/>
      <c r="V508" s="148"/>
      <c r="W508" s="148"/>
      <c r="X508" s="457"/>
    </row>
    <row r="509" spans="2:24" ht="14.25" hidden="1" customHeight="1">
      <c r="B509" s="309"/>
      <c r="C509" s="309"/>
      <c r="D509" s="309" t="s">
        <v>606</v>
      </c>
      <c r="E509" s="309"/>
      <c r="F509" s="309"/>
      <c r="G509" s="309"/>
      <c r="H509" s="309"/>
      <c r="I509" s="309"/>
      <c r="J509" s="353"/>
      <c r="K509" s="406"/>
      <c r="L509" s="396"/>
      <c r="M509" s="396"/>
      <c r="N509" s="395">
        <f>SUM(N504:O508)</f>
        <v>0</v>
      </c>
      <c r="O509" s="395"/>
      <c r="P509" s="478"/>
      <c r="Q509" s="478"/>
      <c r="R509" s="478"/>
      <c r="S509" s="478"/>
      <c r="T509" s="478"/>
      <c r="U509" s="478"/>
      <c r="V509" s="478"/>
      <c r="W509" s="478"/>
      <c r="X509" s="446"/>
    </row>
    <row r="510" spans="2:24" ht="14.25" hidden="1" customHeight="1"/>
    <row r="511" spans="2:24" ht="14.25" hidden="1" customHeight="1">
      <c r="B511" s="143" t="s">
        <v>1338</v>
      </c>
      <c r="V511" s="159"/>
    </row>
    <row r="512" spans="2:24" ht="14.25" hidden="1" customHeight="1">
      <c r="B512" s="309" t="s">
        <v>1010</v>
      </c>
      <c r="C512" s="309"/>
      <c r="D512" s="251" t="s">
        <v>1330</v>
      </c>
      <c r="E512" s="309"/>
      <c r="F512" s="309"/>
      <c r="G512" s="309" t="s">
        <v>1011</v>
      </c>
      <c r="H512" s="309"/>
      <c r="I512" s="309"/>
      <c r="J512" s="353" t="s">
        <v>931</v>
      </c>
      <c r="K512" s="353" t="s">
        <v>932</v>
      </c>
      <c r="L512" s="309" t="s">
        <v>1012</v>
      </c>
      <c r="M512" s="309"/>
      <c r="N512" s="309" t="s">
        <v>1013</v>
      </c>
      <c r="O512" s="309"/>
      <c r="P512" s="309" t="s">
        <v>1014</v>
      </c>
      <c r="Q512" s="309"/>
      <c r="R512" s="309"/>
      <c r="S512" s="309"/>
      <c r="T512" s="309"/>
      <c r="U512" s="309"/>
      <c r="V512" s="309"/>
      <c r="W512" s="309"/>
      <c r="X512" s="309"/>
    </row>
    <row r="513" spans="2:24" ht="14.25" hidden="1" customHeight="1">
      <c r="B513" s="459" t="s">
        <v>1015</v>
      </c>
      <c r="C513" s="459"/>
      <c r="D513" s="309" t="s">
        <v>1026</v>
      </c>
      <c r="E513" s="309"/>
      <c r="F513" s="309"/>
      <c r="G513" s="444" t="s">
        <v>1017</v>
      </c>
      <c r="H513" s="445">
        <v>4</v>
      </c>
      <c r="I513" s="446" t="s">
        <v>1018</v>
      </c>
      <c r="J513" s="353" t="s">
        <v>1025</v>
      </c>
      <c r="K513" s="394">
        <f>H513*R513</f>
        <v>0</v>
      </c>
      <c r="L513" s="395">
        <f>$L$236</f>
        <v>18800</v>
      </c>
      <c r="M513" s="395"/>
      <c r="N513" s="395">
        <f>K513*L513</f>
        <v>0</v>
      </c>
      <c r="O513" s="395"/>
      <c r="P513" s="442" t="s">
        <v>1053</v>
      </c>
      <c r="Q513" s="224"/>
      <c r="R513" s="450"/>
      <c r="S513" s="453" t="s">
        <v>183</v>
      </c>
      <c r="T513" s="318">
        <f>T492</f>
        <v>0</v>
      </c>
      <c r="U513" s="452" t="s">
        <v>1169</v>
      </c>
      <c r="V513" s="452"/>
      <c r="W513" s="148"/>
      <c r="X513" s="457"/>
    </row>
    <row r="514" spans="2:24" ht="14.25" hidden="1" customHeight="1">
      <c r="B514" s="459" t="s">
        <v>1027</v>
      </c>
      <c r="C514" s="459"/>
      <c r="D514" s="309" t="s">
        <v>1059</v>
      </c>
      <c r="E514" s="309"/>
      <c r="F514" s="309"/>
      <c r="G514" s="309"/>
      <c r="H514" s="309"/>
      <c r="I514" s="309"/>
      <c r="J514" s="353" t="s">
        <v>1025</v>
      </c>
      <c r="K514" s="394">
        <f>T514</f>
        <v>0</v>
      </c>
      <c r="L514" s="494">
        <v>9830</v>
      </c>
      <c r="M514" s="494"/>
      <c r="N514" s="395">
        <f>K514*L514</f>
        <v>0</v>
      </c>
      <c r="O514" s="395"/>
      <c r="P514" s="151">
        <f>R513</f>
        <v>0</v>
      </c>
      <c r="Q514" s="149" t="s">
        <v>32</v>
      </c>
      <c r="R514" s="150">
        <v>1.7</v>
      </c>
      <c r="S514" s="149" t="s">
        <v>182</v>
      </c>
      <c r="T514" s="186">
        <f>ROUND(P514*R514,0)</f>
        <v>0</v>
      </c>
      <c r="U514" s="146" t="s">
        <v>183</v>
      </c>
      <c r="V514" s="148"/>
      <c r="W514" s="148"/>
      <c r="X514" s="457"/>
    </row>
    <row r="515" spans="2:24" ht="14.25" hidden="1" customHeight="1">
      <c r="B515" s="458"/>
      <c r="C515" s="458"/>
      <c r="D515" s="309" t="s">
        <v>1061</v>
      </c>
      <c r="E515" s="309"/>
      <c r="F515" s="309"/>
      <c r="G515" s="251" t="s">
        <v>1332</v>
      </c>
      <c r="H515" s="309"/>
      <c r="I515" s="309"/>
      <c r="J515" s="353" t="s">
        <v>1025</v>
      </c>
      <c r="K515" s="394">
        <f>T514</f>
        <v>0</v>
      </c>
      <c r="L515" s="494">
        <v>6300</v>
      </c>
      <c r="M515" s="494"/>
      <c r="N515" s="395">
        <f>K515*L515</f>
        <v>0</v>
      </c>
      <c r="O515" s="395"/>
      <c r="P515" s="148"/>
      <c r="Q515" s="148"/>
      <c r="R515" s="148"/>
      <c r="S515" s="148"/>
      <c r="T515" s="148"/>
      <c r="U515" s="148"/>
      <c r="V515" s="148"/>
      <c r="W515" s="148"/>
      <c r="X515" s="457"/>
    </row>
    <row r="516" spans="2:24" ht="14.25" hidden="1" customHeight="1">
      <c r="B516" s="309" t="s">
        <v>1217</v>
      </c>
      <c r="C516" s="309"/>
      <c r="D516" s="251" t="s">
        <v>1339</v>
      </c>
      <c r="E516" s="309"/>
      <c r="F516" s="309"/>
      <c r="G516" s="309"/>
      <c r="H516" s="309"/>
      <c r="I516" s="309"/>
      <c r="J516" s="353" t="s">
        <v>1036</v>
      </c>
      <c r="K516" s="406">
        <v>1</v>
      </c>
      <c r="L516" s="396"/>
      <c r="M516" s="396"/>
      <c r="N516" s="395">
        <f>P516*(R516+T516)*V516</f>
        <v>0</v>
      </c>
      <c r="O516" s="395"/>
      <c r="P516" s="612"/>
      <c r="Q516" s="149" t="s">
        <v>1340</v>
      </c>
      <c r="R516" s="150">
        <v>1</v>
      </c>
      <c r="S516" s="149" t="s">
        <v>1341</v>
      </c>
      <c r="T516" s="613">
        <v>0.05</v>
      </c>
      <c r="U516" s="149" t="s">
        <v>1342</v>
      </c>
      <c r="V516" s="614">
        <v>0</v>
      </c>
      <c r="W516" s="586" t="s">
        <v>1303</v>
      </c>
      <c r="X516" s="506"/>
    </row>
    <row r="517" spans="2:24" ht="14.25" hidden="1" customHeight="1">
      <c r="B517" s="309" t="s">
        <v>1035</v>
      </c>
      <c r="C517" s="309"/>
      <c r="D517" s="309"/>
      <c r="E517" s="309"/>
      <c r="F517" s="309"/>
      <c r="G517" s="309"/>
      <c r="H517" s="309"/>
      <c r="I517" s="309"/>
      <c r="J517" s="353" t="s">
        <v>1025</v>
      </c>
      <c r="K517" s="406">
        <v>1</v>
      </c>
      <c r="L517" s="396"/>
      <c r="M517" s="396"/>
      <c r="N517" s="395">
        <f>(N513+N516)*(S517/100)</f>
        <v>0</v>
      </c>
      <c r="O517" s="395"/>
      <c r="P517" s="597" t="s">
        <v>1337</v>
      </c>
      <c r="Q517" s="222"/>
      <c r="R517" s="150" t="s">
        <v>32</v>
      </c>
      <c r="S517" s="150">
        <v>1</v>
      </c>
      <c r="T517" s="148" t="s">
        <v>1038</v>
      </c>
      <c r="U517" s="148"/>
      <c r="V517" s="148"/>
      <c r="W517" s="148"/>
      <c r="X517" s="457"/>
    </row>
    <row r="518" spans="2:24" ht="14.25" hidden="1" customHeight="1">
      <c r="B518" s="309"/>
      <c r="C518" s="309"/>
      <c r="D518" s="309" t="s">
        <v>606</v>
      </c>
      <c r="E518" s="309"/>
      <c r="F518" s="309"/>
      <c r="G518" s="309"/>
      <c r="H518" s="309"/>
      <c r="I518" s="309"/>
      <c r="J518" s="353"/>
      <c r="K518" s="406"/>
      <c r="L518" s="396"/>
      <c r="M518" s="396"/>
      <c r="N518" s="395">
        <f>SUM(N513:O517)</f>
        <v>0</v>
      </c>
      <c r="O518" s="395"/>
      <c r="P518" s="478"/>
      <c r="Q518" s="478"/>
      <c r="R518" s="478"/>
      <c r="S518" s="478"/>
      <c r="T518" s="478"/>
      <c r="U518" s="478"/>
      <c r="V518" s="478"/>
      <c r="W518" s="478"/>
      <c r="X518" s="446"/>
    </row>
    <row r="519" spans="2:24" ht="14.25" customHeight="1">
      <c r="B519" s="143" t="s">
        <v>1343</v>
      </c>
      <c r="K519" s="157"/>
      <c r="L519" s="615" t="s">
        <v>1344</v>
      </c>
      <c r="M519" s="616">
        <f>'[1]日数 (1)'!D662</f>
        <v>23.17</v>
      </c>
      <c r="N519" s="157" t="s">
        <v>1345</v>
      </c>
    </row>
    <row r="520" spans="2:24" ht="14.25" customHeight="1">
      <c r="B520" s="459" t="s">
        <v>1010</v>
      </c>
      <c r="C520" s="459"/>
      <c r="D520" s="251" t="s">
        <v>1330</v>
      </c>
      <c r="E520" s="309"/>
      <c r="F520" s="309"/>
      <c r="G520" s="309" t="s">
        <v>1011</v>
      </c>
      <c r="H520" s="309"/>
      <c r="I520" s="309"/>
      <c r="J520" s="353" t="s">
        <v>931</v>
      </c>
      <c r="K520" s="353" t="s">
        <v>932</v>
      </c>
      <c r="L520" s="309" t="s">
        <v>1012</v>
      </c>
      <c r="M520" s="309"/>
      <c r="N520" s="309" t="s">
        <v>1013</v>
      </c>
      <c r="O520" s="309"/>
      <c r="P520" s="309" t="s">
        <v>1014</v>
      </c>
      <c r="Q520" s="309"/>
      <c r="R520" s="309"/>
      <c r="S520" s="309"/>
      <c r="T520" s="309"/>
      <c r="U520" s="309"/>
      <c r="V520" s="309"/>
      <c r="W520" s="309"/>
      <c r="X520" s="309"/>
    </row>
    <row r="521" spans="2:24" ht="14.25" customHeight="1">
      <c r="B521" s="442"/>
      <c r="C521" s="443"/>
      <c r="D521" s="391" t="s">
        <v>1346</v>
      </c>
      <c r="E521" s="309"/>
      <c r="F521" s="309"/>
      <c r="G521" s="309"/>
      <c r="H521" s="309"/>
      <c r="I521" s="309"/>
      <c r="J521" s="350" t="s">
        <v>1347</v>
      </c>
      <c r="K521" s="617">
        <f>P522</f>
        <v>117</v>
      </c>
      <c r="L521" s="562">
        <f>IF(M519&lt;30,7300,IF(M519&lt;40,9100,12100))</f>
        <v>7300</v>
      </c>
      <c r="M521" s="562"/>
      <c r="N521" s="395">
        <f>K521*L521</f>
        <v>854100</v>
      </c>
      <c r="O521" s="395"/>
      <c r="P521" s="618"/>
      <c r="Q521" s="453"/>
      <c r="R521" s="453"/>
      <c r="S521" s="453"/>
      <c r="T521" s="453"/>
      <c r="U521" s="453"/>
      <c r="V521" s="453"/>
      <c r="W521" s="453"/>
      <c r="X521" s="454"/>
    </row>
    <row r="522" spans="2:24" ht="14.25" customHeight="1">
      <c r="B522" s="404"/>
      <c r="C522" s="405"/>
      <c r="D522" s="391" t="s">
        <v>1348</v>
      </c>
      <c r="E522" s="309"/>
      <c r="F522" s="309"/>
      <c r="G522" s="309"/>
      <c r="H522" s="309"/>
      <c r="I522" s="309"/>
      <c r="J522" s="353" t="s">
        <v>1025</v>
      </c>
      <c r="K522" s="619">
        <f>T522</f>
        <v>23.4</v>
      </c>
      <c r="L522" s="562">
        <v>5300</v>
      </c>
      <c r="M522" s="562"/>
      <c r="N522" s="395">
        <f>K522*L522</f>
        <v>124019.99999999999</v>
      </c>
      <c r="O522" s="395"/>
      <c r="P522" s="620">
        <f>'[1]日数 (1)'!F651</f>
        <v>117</v>
      </c>
      <c r="Q522" s="149" t="s">
        <v>32</v>
      </c>
      <c r="R522" s="621">
        <v>0.2</v>
      </c>
      <c r="S522" s="149" t="s">
        <v>182</v>
      </c>
      <c r="T522" s="622">
        <f>ROUND(P522*R522,1)</f>
        <v>23.4</v>
      </c>
      <c r="U522" s="623" t="s">
        <v>7</v>
      </c>
      <c r="V522" s="148"/>
      <c r="W522" s="148"/>
      <c r="X522" s="457"/>
    </row>
    <row r="523" spans="2:24" ht="14.25" customHeight="1">
      <c r="B523" s="458"/>
      <c r="C523" s="458"/>
      <c r="D523" s="251" t="s">
        <v>1349</v>
      </c>
      <c r="E523" s="309"/>
      <c r="F523" s="309"/>
      <c r="G523" s="309"/>
      <c r="H523" s="309"/>
      <c r="I523" s="309"/>
      <c r="J523" s="434"/>
      <c r="K523" s="421">
        <f>'[1]日数 (1)'!F651</f>
        <v>117</v>
      </c>
      <c r="L523" s="596">
        <f>INT(GenbaYousetuKensahi_Goukei / Cel工事_検査費_数量計)</f>
        <v>8360</v>
      </c>
      <c r="M523" s="557"/>
      <c r="N523" s="395">
        <f>SUM(N521:O522)</f>
        <v>978120</v>
      </c>
      <c r="O523" s="395"/>
      <c r="P523" s="624"/>
      <c r="Q523" s="625"/>
      <c r="R523" s="625"/>
      <c r="S523" s="625"/>
      <c r="T523" s="625"/>
      <c r="U523" s="625"/>
      <c r="V523" s="625"/>
      <c r="W523" s="625"/>
      <c r="X523" s="626"/>
    </row>
    <row r="524" spans="2:24" ht="14.25" customHeight="1">
      <c r="L524" s="627"/>
    </row>
  </sheetData>
  <mergeCells count="2003">
    <mergeCell ref="B523:C523"/>
    <mergeCell ref="D523:F523"/>
    <mergeCell ref="G523:I523"/>
    <mergeCell ref="L523:M523"/>
    <mergeCell ref="N523:O523"/>
    <mergeCell ref="B521:C521"/>
    <mergeCell ref="D521:F521"/>
    <mergeCell ref="G521:I521"/>
    <mergeCell ref="L521:M521"/>
    <mergeCell ref="N521:O521"/>
    <mergeCell ref="B522:C522"/>
    <mergeCell ref="D522:F522"/>
    <mergeCell ref="G522:I522"/>
    <mergeCell ref="L522:M522"/>
    <mergeCell ref="N522:O522"/>
    <mergeCell ref="B520:C520"/>
    <mergeCell ref="D520:F520"/>
    <mergeCell ref="G520:I520"/>
    <mergeCell ref="L520:M520"/>
    <mergeCell ref="N520:O520"/>
    <mergeCell ref="P520:X520"/>
    <mergeCell ref="P517:Q517"/>
    <mergeCell ref="B518:C518"/>
    <mergeCell ref="D518:F518"/>
    <mergeCell ref="G518:I518"/>
    <mergeCell ref="L518:M518"/>
    <mergeCell ref="N518:O518"/>
    <mergeCell ref="B516:C516"/>
    <mergeCell ref="D516:F516"/>
    <mergeCell ref="G516:I516"/>
    <mergeCell ref="L516:M516"/>
    <mergeCell ref="N516:O516"/>
    <mergeCell ref="B517:C517"/>
    <mergeCell ref="D517:F517"/>
    <mergeCell ref="G517:I517"/>
    <mergeCell ref="L517:M517"/>
    <mergeCell ref="N517:O517"/>
    <mergeCell ref="B514:C514"/>
    <mergeCell ref="D514:F514"/>
    <mergeCell ref="G514:I514"/>
    <mergeCell ref="L514:M514"/>
    <mergeCell ref="N514:O514"/>
    <mergeCell ref="B515:C515"/>
    <mergeCell ref="D515:F515"/>
    <mergeCell ref="G515:I515"/>
    <mergeCell ref="L515:M515"/>
    <mergeCell ref="N515:O515"/>
    <mergeCell ref="B513:C513"/>
    <mergeCell ref="D513:F513"/>
    <mergeCell ref="L513:M513"/>
    <mergeCell ref="N513:O513"/>
    <mergeCell ref="P513:Q513"/>
    <mergeCell ref="U513:V513"/>
    <mergeCell ref="B512:C512"/>
    <mergeCell ref="D512:F512"/>
    <mergeCell ref="G512:I512"/>
    <mergeCell ref="L512:M512"/>
    <mergeCell ref="N512:O512"/>
    <mergeCell ref="P512:X512"/>
    <mergeCell ref="P508:Q508"/>
    <mergeCell ref="B509:C509"/>
    <mergeCell ref="D509:F509"/>
    <mergeCell ref="G509:I509"/>
    <mergeCell ref="L509:M509"/>
    <mergeCell ref="N509:O509"/>
    <mergeCell ref="B507:C507"/>
    <mergeCell ref="D507:F507"/>
    <mergeCell ref="G507:I507"/>
    <mergeCell ref="L507:M507"/>
    <mergeCell ref="N507:O507"/>
    <mergeCell ref="B508:C508"/>
    <mergeCell ref="D508:F508"/>
    <mergeCell ref="G508:I508"/>
    <mergeCell ref="L508:M508"/>
    <mergeCell ref="N508:O508"/>
    <mergeCell ref="B505:C505"/>
    <mergeCell ref="D505:F505"/>
    <mergeCell ref="G505:I505"/>
    <mergeCell ref="L505:M505"/>
    <mergeCell ref="N505:O505"/>
    <mergeCell ref="B506:C506"/>
    <mergeCell ref="D506:F506"/>
    <mergeCell ref="G506:I506"/>
    <mergeCell ref="L506:M506"/>
    <mergeCell ref="N506:O506"/>
    <mergeCell ref="B504:C504"/>
    <mergeCell ref="D504:F504"/>
    <mergeCell ref="L504:M504"/>
    <mergeCell ref="N504:O504"/>
    <mergeCell ref="P504:Q504"/>
    <mergeCell ref="U504:V504"/>
    <mergeCell ref="B503:C503"/>
    <mergeCell ref="D503:F503"/>
    <mergeCell ref="G503:I503"/>
    <mergeCell ref="L503:M503"/>
    <mergeCell ref="N503:O503"/>
    <mergeCell ref="P503:X503"/>
    <mergeCell ref="B499:C499"/>
    <mergeCell ref="D499:F499"/>
    <mergeCell ref="G499:I499"/>
    <mergeCell ref="L499:M499"/>
    <mergeCell ref="N499:O499"/>
    <mergeCell ref="B500:C500"/>
    <mergeCell ref="D500:F500"/>
    <mergeCell ref="G500:I500"/>
    <mergeCell ref="L500:M500"/>
    <mergeCell ref="N500:O500"/>
    <mergeCell ref="B497:C497"/>
    <mergeCell ref="D497:F497"/>
    <mergeCell ref="G497:I497"/>
    <mergeCell ref="L497:M497"/>
    <mergeCell ref="N497:O497"/>
    <mergeCell ref="B498:C498"/>
    <mergeCell ref="D498:F498"/>
    <mergeCell ref="G498:I498"/>
    <mergeCell ref="L498:M498"/>
    <mergeCell ref="N498:O498"/>
    <mergeCell ref="B495:C495"/>
    <mergeCell ref="D495:F495"/>
    <mergeCell ref="G495:I495"/>
    <mergeCell ref="L495:M495"/>
    <mergeCell ref="N495:O495"/>
    <mergeCell ref="B496:C496"/>
    <mergeCell ref="D496:F496"/>
    <mergeCell ref="G496:I496"/>
    <mergeCell ref="L496:M496"/>
    <mergeCell ref="N496:O496"/>
    <mergeCell ref="B493:C493"/>
    <mergeCell ref="D493:F493"/>
    <mergeCell ref="L493:M493"/>
    <mergeCell ref="N493:O493"/>
    <mergeCell ref="B494:C494"/>
    <mergeCell ref="D494:F494"/>
    <mergeCell ref="L494:M494"/>
    <mergeCell ref="N494:O494"/>
    <mergeCell ref="B492:C492"/>
    <mergeCell ref="D492:F492"/>
    <mergeCell ref="L492:M492"/>
    <mergeCell ref="N492:O492"/>
    <mergeCell ref="P492:Q492"/>
    <mergeCell ref="U492:V492"/>
    <mergeCell ref="B491:C491"/>
    <mergeCell ref="D491:F491"/>
    <mergeCell ref="G491:I491"/>
    <mergeCell ref="L491:M491"/>
    <mergeCell ref="N491:O491"/>
    <mergeCell ref="P491:X491"/>
    <mergeCell ref="B486:C486"/>
    <mergeCell ref="D486:F486"/>
    <mergeCell ref="G486:I486"/>
    <mergeCell ref="L486:M486"/>
    <mergeCell ref="N486:O486"/>
    <mergeCell ref="B487:C487"/>
    <mergeCell ref="D487:F487"/>
    <mergeCell ref="G487:I487"/>
    <mergeCell ref="L487:M487"/>
    <mergeCell ref="N487:O487"/>
    <mergeCell ref="B484:C484"/>
    <mergeCell ref="D484:F484"/>
    <mergeCell ref="G484:I484"/>
    <mergeCell ref="L484:M484"/>
    <mergeCell ref="N484:O484"/>
    <mergeCell ref="B485:C485"/>
    <mergeCell ref="D485:F485"/>
    <mergeCell ref="G485:I485"/>
    <mergeCell ref="L485:M485"/>
    <mergeCell ref="N485:O485"/>
    <mergeCell ref="B482:C482"/>
    <mergeCell ref="D482:F482"/>
    <mergeCell ref="L482:M482"/>
    <mergeCell ref="N482:O482"/>
    <mergeCell ref="B483:C483"/>
    <mergeCell ref="D483:F483"/>
    <mergeCell ref="L483:M483"/>
    <mergeCell ref="N483:O483"/>
    <mergeCell ref="P480:X480"/>
    <mergeCell ref="B481:C481"/>
    <mergeCell ref="D481:F481"/>
    <mergeCell ref="L481:M481"/>
    <mergeCell ref="N481:O481"/>
    <mergeCell ref="P481:Q481"/>
    <mergeCell ref="U481:V481"/>
    <mergeCell ref="B476:C476"/>
    <mergeCell ref="D476:F476"/>
    <mergeCell ref="G476:I476"/>
    <mergeCell ref="L476:M476"/>
    <mergeCell ref="N476:O476"/>
    <mergeCell ref="B480:C480"/>
    <mergeCell ref="D480:F480"/>
    <mergeCell ref="G480:I480"/>
    <mergeCell ref="L480:M480"/>
    <mergeCell ref="N480:O480"/>
    <mergeCell ref="B474:C474"/>
    <mergeCell ref="D474:F474"/>
    <mergeCell ref="G474:I474"/>
    <mergeCell ref="L474:M474"/>
    <mergeCell ref="N474:O474"/>
    <mergeCell ref="B475:C475"/>
    <mergeCell ref="D475:F475"/>
    <mergeCell ref="G475:I475"/>
    <mergeCell ref="L475:M475"/>
    <mergeCell ref="N475:O475"/>
    <mergeCell ref="B473:C473"/>
    <mergeCell ref="D473:F473"/>
    <mergeCell ref="G473:I473"/>
    <mergeCell ref="L473:M473"/>
    <mergeCell ref="N473:O473"/>
    <mergeCell ref="P473:Q473"/>
    <mergeCell ref="B471:C471"/>
    <mergeCell ref="D471:F471"/>
    <mergeCell ref="G471:I471"/>
    <mergeCell ref="L471:M471"/>
    <mergeCell ref="N471:O471"/>
    <mergeCell ref="B472:C472"/>
    <mergeCell ref="D472:F472"/>
    <mergeCell ref="G472:I472"/>
    <mergeCell ref="L472:M472"/>
    <mergeCell ref="N472:O472"/>
    <mergeCell ref="B469:C469"/>
    <mergeCell ref="D469:F469"/>
    <mergeCell ref="G469:I469"/>
    <mergeCell ref="L469:M469"/>
    <mergeCell ref="N469:O469"/>
    <mergeCell ref="B470:C470"/>
    <mergeCell ref="D470:F470"/>
    <mergeCell ref="G470:I470"/>
    <mergeCell ref="L470:M470"/>
    <mergeCell ref="N470:O470"/>
    <mergeCell ref="B468:C468"/>
    <mergeCell ref="D468:F468"/>
    <mergeCell ref="G468:I468"/>
    <mergeCell ref="L468:M468"/>
    <mergeCell ref="N468:O468"/>
    <mergeCell ref="P468:Q468"/>
    <mergeCell ref="P466:X466"/>
    <mergeCell ref="B467:C467"/>
    <mergeCell ref="D467:F467"/>
    <mergeCell ref="G467:I467"/>
    <mergeCell ref="L467:M467"/>
    <mergeCell ref="N467:O467"/>
    <mergeCell ref="P467:Q467"/>
    <mergeCell ref="N441:O441"/>
    <mergeCell ref="B466:C466"/>
    <mergeCell ref="D466:F466"/>
    <mergeCell ref="G466:I466"/>
    <mergeCell ref="L466:M466"/>
    <mergeCell ref="N466:O466"/>
    <mergeCell ref="B440:C440"/>
    <mergeCell ref="D440:F440"/>
    <mergeCell ref="G440:I440"/>
    <mergeCell ref="L440:M440"/>
    <mergeCell ref="N440:O440"/>
    <mergeCell ref="B441:C441"/>
    <mergeCell ref="D441:F441"/>
    <mergeCell ref="G441:I441"/>
    <mergeCell ref="J441:K441"/>
    <mergeCell ref="L441:M441"/>
    <mergeCell ref="B438:C438"/>
    <mergeCell ref="D438:F438"/>
    <mergeCell ref="G438:I438"/>
    <mergeCell ref="L438:M438"/>
    <mergeCell ref="N438:O438"/>
    <mergeCell ref="B439:C439"/>
    <mergeCell ref="D439:F439"/>
    <mergeCell ref="G439:I439"/>
    <mergeCell ref="L439:M439"/>
    <mergeCell ref="N439:O439"/>
    <mergeCell ref="B436:C436"/>
    <mergeCell ref="D436:F436"/>
    <mergeCell ref="G436:I436"/>
    <mergeCell ref="L436:M436"/>
    <mergeCell ref="N436:O436"/>
    <mergeCell ref="B437:C437"/>
    <mergeCell ref="D437:F437"/>
    <mergeCell ref="G437:I437"/>
    <mergeCell ref="L437:M437"/>
    <mergeCell ref="N437:O437"/>
    <mergeCell ref="B434:C434"/>
    <mergeCell ref="D434:F434"/>
    <mergeCell ref="G434:I434"/>
    <mergeCell ref="L434:M434"/>
    <mergeCell ref="N434:O434"/>
    <mergeCell ref="B435:C435"/>
    <mergeCell ref="D435:F435"/>
    <mergeCell ref="G435:I435"/>
    <mergeCell ref="L435:M435"/>
    <mergeCell ref="N435:O435"/>
    <mergeCell ref="B432:C432"/>
    <mergeCell ref="D432:F432"/>
    <mergeCell ref="G432:I432"/>
    <mergeCell ref="L432:M432"/>
    <mergeCell ref="N432:O432"/>
    <mergeCell ref="B433:C433"/>
    <mergeCell ref="D433:F433"/>
    <mergeCell ref="G433:I433"/>
    <mergeCell ref="L433:M433"/>
    <mergeCell ref="N433:O433"/>
    <mergeCell ref="B430:C430"/>
    <mergeCell ref="D430:F430"/>
    <mergeCell ref="G430:I430"/>
    <mergeCell ref="L430:M430"/>
    <mergeCell ref="N430:O430"/>
    <mergeCell ref="B431:C431"/>
    <mergeCell ref="D431:F431"/>
    <mergeCell ref="G431:I431"/>
    <mergeCell ref="L431:M431"/>
    <mergeCell ref="N431:O431"/>
    <mergeCell ref="B428:C428"/>
    <mergeCell ref="D428:F428"/>
    <mergeCell ref="G428:I428"/>
    <mergeCell ref="L428:M428"/>
    <mergeCell ref="N428:O428"/>
    <mergeCell ref="B429:C429"/>
    <mergeCell ref="D429:F429"/>
    <mergeCell ref="G429:I429"/>
    <mergeCell ref="L429:M429"/>
    <mergeCell ref="N429:O429"/>
    <mergeCell ref="B426:C426"/>
    <mergeCell ref="D426:F426"/>
    <mergeCell ref="G426:I426"/>
    <mergeCell ref="L426:M426"/>
    <mergeCell ref="N426:O426"/>
    <mergeCell ref="B427:C427"/>
    <mergeCell ref="D427:F427"/>
    <mergeCell ref="G427:I427"/>
    <mergeCell ref="L427:M427"/>
    <mergeCell ref="N427:O427"/>
    <mergeCell ref="B424:C424"/>
    <mergeCell ref="D424:F424"/>
    <mergeCell ref="G424:I424"/>
    <mergeCell ref="L424:M424"/>
    <mergeCell ref="N424:O424"/>
    <mergeCell ref="B425:C425"/>
    <mergeCell ref="D425:F425"/>
    <mergeCell ref="G425:I425"/>
    <mergeCell ref="L425:M425"/>
    <mergeCell ref="N425:O425"/>
    <mergeCell ref="B422:C422"/>
    <mergeCell ref="D422:F422"/>
    <mergeCell ref="G422:I422"/>
    <mergeCell ref="L422:M422"/>
    <mergeCell ref="N422:O422"/>
    <mergeCell ref="B423:C423"/>
    <mergeCell ref="D423:F423"/>
    <mergeCell ref="G423:I423"/>
    <mergeCell ref="L423:M423"/>
    <mergeCell ref="N423:O423"/>
    <mergeCell ref="B420:C420"/>
    <mergeCell ref="D420:F420"/>
    <mergeCell ref="G420:I420"/>
    <mergeCell ref="L420:M420"/>
    <mergeCell ref="N420:O420"/>
    <mergeCell ref="B421:C421"/>
    <mergeCell ref="D421:F421"/>
    <mergeCell ref="G421:I421"/>
    <mergeCell ref="L421:M421"/>
    <mergeCell ref="N421:O421"/>
    <mergeCell ref="B418:C418"/>
    <mergeCell ref="D418:F418"/>
    <mergeCell ref="G418:I418"/>
    <mergeCell ref="L418:M418"/>
    <mergeCell ref="N418:O418"/>
    <mergeCell ref="B419:C419"/>
    <mergeCell ref="D419:F419"/>
    <mergeCell ref="G419:I419"/>
    <mergeCell ref="L419:M419"/>
    <mergeCell ref="N419:O419"/>
    <mergeCell ref="P416:X416"/>
    <mergeCell ref="B417:C417"/>
    <mergeCell ref="D417:F417"/>
    <mergeCell ref="G417:I417"/>
    <mergeCell ref="L417:M417"/>
    <mergeCell ref="N417:O417"/>
    <mergeCell ref="B412:C412"/>
    <mergeCell ref="D412:F412"/>
    <mergeCell ref="G412:I412"/>
    <mergeCell ref="L412:M412"/>
    <mergeCell ref="N412:O412"/>
    <mergeCell ref="B416:C416"/>
    <mergeCell ref="D416:F416"/>
    <mergeCell ref="G416:I416"/>
    <mergeCell ref="L416:M416"/>
    <mergeCell ref="N416:O416"/>
    <mergeCell ref="B410:C410"/>
    <mergeCell ref="D410:F410"/>
    <mergeCell ref="G410:I410"/>
    <mergeCell ref="L410:M410"/>
    <mergeCell ref="N410:O410"/>
    <mergeCell ref="B411:C411"/>
    <mergeCell ref="D411:F411"/>
    <mergeCell ref="G411:I411"/>
    <mergeCell ref="L411:M411"/>
    <mergeCell ref="N411:O411"/>
    <mergeCell ref="B408:C408"/>
    <mergeCell ref="D408:F408"/>
    <mergeCell ref="G408:I408"/>
    <mergeCell ref="L408:M408"/>
    <mergeCell ref="N408:O408"/>
    <mergeCell ref="B409:C409"/>
    <mergeCell ref="D409:F409"/>
    <mergeCell ref="G409:I409"/>
    <mergeCell ref="L409:M409"/>
    <mergeCell ref="N409:O409"/>
    <mergeCell ref="B406:C406"/>
    <mergeCell ref="D406:F406"/>
    <mergeCell ref="L406:M406"/>
    <mergeCell ref="N406:O406"/>
    <mergeCell ref="B407:C407"/>
    <mergeCell ref="D407:F407"/>
    <mergeCell ref="L407:M407"/>
    <mergeCell ref="N407:O407"/>
    <mergeCell ref="B405:C405"/>
    <mergeCell ref="D405:F405"/>
    <mergeCell ref="L405:M405"/>
    <mergeCell ref="N405:O405"/>
    <mergeCell ref="P405:Q405"/>
    <mergeCell ref="U405:V405"/>
    <mergeCell ref="B404:C404"/>
    <mergeCell ref="D404:F404"/>
    <mergeCell ref="G404:I404"/>
    <mergeCell ref="L404:M404"/>
    <mergeCell ref="N404:O404"/>
    <mergeCell ref="P404:X404"/>
    <mergeCell ref="B399:C399"/>
    <mergeCell ref="D399:F399"/>
    <mergeCell ref="G399:I399"/>
    <mergeCell ref="L399:M399"/>
    <mergeCell ref="N399:O399"/>
    <mergeCell ref="B400:C400"/>
    <mergeCell ref="D400:F400"/>
    <mergeCell ref="G400:I400"/>
    <mergeCell ref="L400:M400"/>
    <mergeCell ref="N400:O400"/>
    <mergeCell ref="B397:C397"/>
    <mergeCell ref="D397:F397"/>
    <mergeCell ref="G397:I397"/>
    <mergeCell ref="L397:M397"/>
    <mergeCell ref="N397:O397"/>
    <mergeCell ref="B398:C398"/>
    <mergeCell ref="D398:F398"/>
    <mergeCell ref="G398:I398"/>
    <mergeCell ref="L398:M398"/>
    <mergeCell ref="N398:O398"/>
    <mergeCell ref="B395:C395"/>
    <mergeCell ref="D395:F395"/>
    <mergeCell ref="L395:M395"/>
    <mergeCell ref="N395:O395"/>
    <mergeCell ref="B396:C396"/>
    <mergeCell ref="D396:F396"/>
    <mergeCell ref="L396:M396"/>
    <mergeCell ref="N396:O396"/>
    <mergeCell ref="B394:C394"/>
    <mergeCell ref="D394:F394"/>
    <mergeCell ref="L394:M394"/>
    <mergeCell ref="N394:O394"/>
    <mergeCell ref="P394:Q394"/>
    <mergeCell ref="U394:V394"/>
    <mergeCell ref="B393:C393"/>
    <mergeCell ref="D393:F393"/>
    <mergeCell ref="G393:I393"/>
    <mergeCell ref="L393:M393"/>
    <mergeCell ref="N393:O393"/>
    <mergeCell ref="P393:X393"/>
    <mergeCell ref="B388:C388"/>
    <mergeCell ref="D388:F388"/>
    <mergeCell ref="G388:I388"/>
    <mergeCell ref="L388:M388"/>
    <mergeCell ref="N388:O388"/>
    <mergeCell ref="B389:C389"/>
    <mergeCell ref="D389:F389"/>
    <mergeCell ref="G389:I389"/>
    <mergeCell ref="L389:M389"/>
    <mergeCell ref="N389:O389"/>
    <mergeCell ref="B386:C386"/>
    <mergeCell ref="D386:F386"/>
    <mergeCell ref="G386:I386"/>
    <mergeCell ref="L386:M386"/>
    <mergeCell ref="N386:O386"/>
    <mergeCell ref="B387:C387"/>
    <mergeCell ref="D387:F387"/>
    <mergeCell ref="G387:I387"/>
    <mergeCell ref="L387:M387"/>
    <mergeCell ref="N387:O387"/>
    <mergeCell ref="B384:C384"/>
    <mergeCell ref="D384:F384"/>
    <mergeCell ref="G384:I384"/>
    <mergeCell ref="L384:M384"/>
    <mergeCell ref="N384:O384"/>
    <mergeCell ref="B385:C385"/>
    <mergeCell ref="D385:F385"/>
    <mergeCell ref="G385:I385"/>
    <mergeCell ref="L385:M385"/>
    <mergeCell ref="N385:O385"/>
    <mergeCell ref="B382:C382"/>
    <mergeCell ref="D382:F382"/>
    <mergeCell ref="L382:M382"/>
    <mergeCell ref="N382:O382"/>
    <mergeCell ref="B383:C383"/>
    <mergeCell ref="D383:F383"/>
    <mergeCell ref="G383:I383"/>
    <mergeCell ref="L383:M383"/>
    <mergeCell ref="N383:O383"/>
    <mergeCell ref="B380:C380"/>
    <mergeCell ref="D380:F380"/>
    <mergeCell ref="L380:M380"/>
    <mergeCell ref="N380:O380"/>
    <mergeCell ref="P380:Q380"/>
    <mergeCell ref="B381:C381"/>
    <mergeCell ref="D381:F381"/>
    <mergeCell ref="L381:M381"/>
    <mergeCell ref="N381:O381"/>
    <mergeCell ref="B378:C378"/>
    <mergeCell ref="D378:F378"/>
    <mergeCell ref="L378:M378"/>
    <mergeCell ref="N378:O378"/>
    <mergeCell ref="B379:C379"/>
    <mergeCell ref="D379:F379"/>
    <mergeCell ref="L379:M379"/>
    <mergeCell ref="N379:O379"/>
    <mergeCell ref="B377:C377"/>
    <mergeCell ref="D377:F377"/>
    <mergeCell ref="L377:M377"/>
    <mergeCell ref="N377:O377"/>
    <mergeCell ref="P377:Q377"/>
    <mergeCell ref="U377:V377"/>
    <mergeCell ref="B376:C376"/>
    <mergeCell ref="D376:F376"/>
    <mergeCell ref="G376:I376"/>
    <mergeCell ref="L376:M376"/>
    <mergeCell ref="N376:O376"/>
    <mergeCell ref="P376:X376"/>
    <mergeCell ref="B371:C371"/>
    <mergeCell ref="D371:F371"/>
    <mergeCell ref="G371:I371"/>
    <mergeCell ref="L371:M371"/>
    <mergeCell ref="N371:O371"/>
    <mergeCell ref="B372:C372"/>
    <mergeCell ref="D372:F372"/>
    <mergeCell ref="G372:I372"/>
    <mergeCell ref="L372:M372"/>
    <mergeCell ref="N372:O372"/>
    <mergeCell ref="B369:C369"/>
    <mergeCell ref="D369:F369"/>
    <mergeCell ref="G369:I369"/>
    <mergeCell ref="L369:M369"/>
    <mergeCell ref="N369:O369"/>
    <mergeCell ref="B370:C370"/>
    <mergeCell ref="D370:F370"/>
    <mergeCell ref="G370:I370"/>
    <mergeCell ref="L370:M370"/>
    <mergeCell ref="N370:O370"/>
    <mergeCell ref="B367:C367"/>
    <mergeCell ref="D367:F367"/>
    <mergeCell ref="L367:M367"/>
    <mergeCell ref="N367:O367"/>
    <mergeCell ref="B368:C368"/>
    <mergeCell ref="D368:F368"/>
    <mergeCell ref="G368:I368"/>
    <mergeCell ref="L368:M368"/>
    <mergeCell ref="N368:O368"/>
    <mergeCell ref="P365:X365"/>
    <mergeCell ref="B366:C366"/>
    <mergeCell ref="D366:F366"/>
    <mergeCell ref="L366:M366"/>
    <mergeCell ref="N366:O366"/>
    <mergeCell ref="P366:Q366"/>
    <mergeCell ref="U366:V366"/>
    <mergeCell ref="B361:C361"/>
    <mergeCell ref="D361:F361"/>
    <mergeCell ref="G361:I361"/>
    <mergeCell ref="L361:M361"/>
    <mergeCell ref="N361:O361"/>
    <mergeCell ref="B365:C365"/>
    <mergeCell ref="D365:F365"/>
    <mergeCell ref="G365:I365"/>
    <mergeCell ref="L365:M365"/>
    <mergeCell ref="N365:O365"/>
    <mergeCell ref="B359:C359"/>
    <mergeCell ref="D359:F359"/>
    <mergeCell ref="G359:I359"/>
    <mergeCell ref="L359:M359"/>
    <mergeCell ref="N359:O359"/>
    <mergeCell ref="B360:C360"/>
    <mergeCell ref="D360:F360"/>
    <mergeCell ref="G360:I360"/>
    <mergeCell ref="L360:M360"/>
    <mergeCell ref="N360:O360"/>
    <mergeCell ref="P357:X357"/>
    <mergeCell ref="B358:C358"/>
    <mergeCell ref="D358:F358"/>
    <mergeCell ref="G358:I358"/>
    <mergeCell ref="L358:M358"/>
    <mergeCell ref="N358:O358"/>
    <mergeCell ref="B354:C354"/>
    <mergeCell ref="D354:F354"/>
    <mergeCell ref="G354:I354"/>
    <mergeCell ref="L354:M354"/>
    <mergeCell ref="N354:O354"/>
    <mergeCell ref="B357:C357"/>
    <mergeCell ref="D357:F357"/>
    <mergeCell ref="G357:I357"/>
    <mergeCell ref="L357:M357"/>
    <mergeCell ref="N357:O357"/>
    <mergeCell ref="B352:C352"/>
    <mergeCell ref="D352:F352"/>
    <mergeCell ref="G352:I352"/>
    <mergeCell ref="L352:M352"/>
    <mergeCell ref="N352:O352"/>
    <mergeCell ref="B353:C353"/>
    <mergeCell ref="D353:F353"/>
    <mergeCell ref="G353:I353"/>
    <mergeCell ref="L353:M353"/>
    <mergeCell ref="N353:O353"/>
    <mergeCell ref="B350:C350"/>
    <mergeCell ref="D350:F350"/>
    <mergeCell ref="G350:I350"/>
    <mergeCell ref="L350:M350"/>
    <mergeCell ref="N350:O350"/>
    <mergeCell ref="B351:C351"/>
    <mergeCell ref="D351:F351"/>
    <mergeCell ref="G351:I351"/>
    <mergeCell ref="L351:M351"/>
    <mergeCell ref="N351:O351"/>
    <mergeCell ref="B349:C349"/>
    <mergeCell ref="D349:F349"/>
    <mergeCell ref="G349:I349"/>
    <mergeCell ref="L349:M349"/>
    <mergeCell ref="N349:O349"/>
    <mergeCell ref="P349:Q349"/>
    <mergeCell ref="B348:C348"/>
    <mergeCell ref="D348:F348"/>
    <mergeCell ref="G348:I348"/>
    <mergeCell ref="L348:M348"/>
    <mergeCell ref="N348:O348"/>
    <mergeCell ref="P348:Q348"/>
    <mergeCell ref="B347:C347"/>
    <mergeCell ref="D347:F347"/>
    <mergeCell ref="G347:I347"/>
    <mergeCell ref="L347:M347"/>
    <mergeCell ref="N347:O347"/>
    <mergeCell ref="P347:X347"/>
    <mergeCell ref="B343:C343"/>
    <mergeCell ref="D343:F343"/>
    <mergeCell ref="G343:I343"/>
    <mergeCell ref="L343:M343"/>
    <mergeCell ref="N343:O343"/>
    <mergeCell ref="J346:K346"/>
    <mergeCell ref="B341:C341"/>
    <mergeCell ref="D341:F341"/>
    <mergeCell ref="G341:I341"/>
    <mergeCell ref="L341:M341"/>
    <mergeCell ref="N341:O341"/>
    <mergeCell ref="B342:C342"/>
    <mergeCell ref="D342:F342"/>
    <mergeCell ref="G342:I342"/>
    <mergeCell ref="L342:M342"/>
    <mergeCell ref="N342:O342"/>
    <mergeCell ref="B339:C339"/>
    <mergeCell ref="D339:F339"/>
    <mergeCell ref="L339:M339"/>
    <mergeCell ref="N339:O339"/>
    <mergeCell ref="B340:C340"/>
    <mergeCell ref="D340:F340"/>
    <mergeCell ref="G340:I340"/>
    <mergeCell ref="L340:M340"/>
    <mergeCell ref="N340:O340"/>
    <mergeCell ref="P337:X337"/>
    <mergeCell ref="B338:C338"/>
    <mergeCell ref="D338:F338"/>
    <mergeCell ref="L338:M338"/>
    <mergeCell ref="N338:O338"/>
    <mergeCell ref="P338:Q338"/>
    <mergeCell ref="U338:V338"/>
    <mergeCell ref="B333:C333"/>
    <mergeCell ref="D333:F333"/>
    <mergeCell ref="G333:I333"/>
    <mergeCell ref="L333:M333"/>
    <mergeCell ref="N333:O333"/>
    <mergeCell ref="B337:C337"/>
    <mergeCell ref="D337:F337"/>
    <mergeCell ref="G337:I337"/>
    <mergeCell ref="L337:M337"/>
    <mergeCell ref="N337:O337"/>
    <mergeCell ref="B331:C331"/>
    <mergeCell ref="D331:F331"/>
    <mergeCell ref="G331:I331"/>
    <mergeCell ref="L331:M331"/>
    <mergeCell ref="N331:O331"/>
    <mergeCell ref="B332:C332"/>
    <mergeCell ref="D332:F332"/>
    <mergeCell ref="G332:I332"/>
    <mergeCell ref="L332:M332"/>
    <mergeCell ref="N332:O332"/>
    <mergeCell ref="B329:C329"/>
    <mergeCell ref="D329:F329"/>
    <mergeCell ref="G329:I329"/>
    <mergeCell ref="L329:M329"/>
    <mergeCell ref="N329:O329"/>
    <mergeCell ref="B330:C330"/>
    <mergeCell ref="D330:F330"/>
    <mergeCell ref="G330:I330"/>
    <mergeCell ref="L330:M330"/>
    <mergeCell ref="N330:O330"/>
    <mergeCell ref="B328:C328"/>
    <mergeCell ref="D328:F328"/>
    <mergeCell ref="G328:I328"/>
    <mergeCell ref="L328:M328"/>
    <mergeCell ref="N328:O328"/>
    <mergeCell ref="P328:X328"/>
    <mergeCell ref="B323:C323"/>
    <mergeCell ref="D323:F323"/>
    <mergeCell ref="G323:I323"/>
    <mergeCell ref="L323:M323"/>
    <mergeCell ref="N323:O323"/>
    <mergeCell ref="B324:C324"/>
    <mergeCell ref="D324:F324"/>
    <mergeCell ref="G324:I324"/>
    <mergeCell ref="L324:M324"/>
    <mergeCell ref="N324:O324"/>
    <mergeCell ref="B321:C321"/>
    <mergeCell ref="D321:F321"/>
    <mergeCell ref="G321:I321"/>
    <mergeCell ref="L321:M321"/>
    <mergeCell ref="N321:O321"/>
    <mergeCell ref="B322:C322"/>
    <mergeCell ref="D322:F322"/>
    <mergeCell ref="G322:I322"/>
    <mergeCell ref="L322:M322"/>
    <mergeCell ref="N322:O322"/>
    <mergeCell ref="B319:C319"/>
    <mergeCell ref="D319:F319"/>
    <mergeCell ref="G319:I319"/>
    <mergeCell ref="L319:M319"/>
    <mergeCell ref="N319:O319"/>
    <mergeCell ref="B320:C320"/>
    <mergeCell ref="D320:F320"/>
    <mergeCell ref="G320:I320"/>
    <mergeCell ref="L320:M320"/>
    <mergeCell ref="N320:O320"/>
    <mergeCell ref="B317:C317"/>
    <mergeCell ref="D317:F317"/>
    <mergeCell ref="L317:M317"/>
    <mergeCell ref="N317:O317"/>
    <mergeCell ref="B318:C318"/>
    <mergeCell ref="D318:F318"/>
    <mergeCell ref="L318:M318"/>
    <mergeCell ref="N318:O318"/>
    <mergeCell ref="P315:X315"/>
    <mergeCell ref="B316:C316"/>
    <mergeCell ref="D316:F316"/>
    <mergeCell ref="L316:M316"/>
    <mergeCell ref="N316:O316"/>
    <mergeCell ref="P316:Q316"/>
    <mergeCell ref="U316:V316"/>
    <mergeCell ref="B311:C311"/>
    <mergeCell ref="D311:F311"/>
    <mergeCell ref="G311:I311"/>
    <mergeCell ref="L311:M311"/>
    <mergeCell ref="N311:O311"/>
    <mergeCell ref="B315:C315"/>
    <mergeCell ref="D315:F315"/>
    <mergeCell ref="G315:I315"/>
    <mergeCell ref="L315:M315"/>
    <mergeCell ref="N315:O315"/>
    <mergeCell ref="B309:C309"/>
    <mergeCell ref="D309:F309"/>
    <mergeCell ref="G309:I309"/>
    <mergeCell ref="L309:M309"/>
    <mergeCell ref="N309:O309"/>
    <mergeCell ref="B310:C310"/>
    <mergeCell ref="D310:F310"/>
    <mergeCell ref="G310:I310"/>
    <mergeCell ref="L310:M310"/>
    <mergeCell ref="N310:O310"/>
    <mergeCell ref="B307:C307"/>
    <mergeCell ref="D307:F307"/>
    <mergeCell ref="L307:M307"/>
    <mergeCell ref="N307:O307"/>
    <mergeCell ref="B308:C308"/>
    <mergeCell ref="D308:F308"/>
    <mergeCell ref="G308:I308"/>
    <mergeCell ref="L308:M308"/>
    <mergeCell ref="N308:O308"/>
    <mergeCell ref="B306:C306"/>
    <mergeCell ref="D306:F306"/>
    <mergeCell ref="L306:M306"/>
    <mergeCell ref="N306:O306"/>
    <mergeCell ref="P306:Q306"/>
    <mergeCell ref="U306:V306"/>
    <mergeCell ref="B305:C305"/>
    <mergeCell ref="D305:F305"/>
    <mergeCell ref="G305:I305"/>
    <mergeCell ref="L305:M305"/>
    <mergeCell ref="N305:O305"/>
    <mergeCell ref="P305:X305"/>
    <mergeCell ref="B301:C301"/>
    <mergeCell ref="D301:F301"/>
    <mergeCell ref="G301:I301"/>
    <mergeCell ref="L301:M301"/>
    <mergeCell ref="N301:O301"/>
    <mergeCell ref="P304:Q304"/>
    <mergeCell ref="B299:C299"/>
    <mergeCell ref="D299:F299"/>
    <mergeCell ref="G299:I299"/>
    <mergeCell ref="L299:M299"/>
    <mergeCell ref="N299:O299"/>
    <mergeCell ref="B300:C300"/>
    <mergeCell ref="D300:F300"/>
    <mergeCell ref="G300:I300"/>
    <mergeCell ref="L300:M300"/>
    <mergeCell ref="N300:O300"/>
    <mergeCell ref="B297:C297"/>
    <mergeCell ref="D297:F297"/>
    <mergeCell ref="L297:M297"/>
    <mergeCell ref="N297:O297"/>
    <mergeCell ref="B298:C298"/>
    <mergeCell ref="D298:F298"/>
    <mergeCell ref="G298:I298"/>
    <mergeCell ref="L298:M298"/>
    <mergeCell ref="N298:O298"/>
    <mergeCell ref="B296:C296"/>
    <mergeCell ref="D296:F296"/>
    <mergeCell ref="L296:M296"/>
    <mergeCell ref="N296:O296"/>
    <mergeCell ref="P296:Q296"/>
    <mergeCell ref="U296:V296"/>
    <mergeCell ref="P294:Q294"/>
    <mergeCell ref="B295:C295"/>
    <mergeCell ref="D295:F295"/>
    <mergeCell ref="G295:I295"/>
    <mergeCell ref="L295:M295"/>
    <mergeCell ref="N295:O295"/>
    <mergeCell ref="P295:X295"/>
    <mergeCell ref="B291:C291"/>
    <mergeCell ref="E291:F291"/>
    <mergeCell ref="G291:H291"/>
    <mergeCell ref="I291:J291"/>
    <mergeCell ref="K291:L291"/>
    <mergeCell ref="M291:N291"/>
    <mergeCell ref="B290:C290"/>
    <mergeCell ref="E290:F290"/>
    <mergeCell ref="G290:H290"/>
    <mergeCell ref="I290:J290"/>
    <mergeCell ref="K290:L290"/>
    <mergeCell ref="M290:N290"/>
    <mergeCell ref="B289:C289"/>
    <mergeCell ref="E289:F289"/>
    <mergeCell ref="G289:H289"/>
    <mergeCell ref="I289:J289"/>
    <mergeCell ref="K289:L289"/>
    <mergeCell ref="M289:N289"/>
    <mergeCell ref="B288:C288"/>
    <mergeCell ref="E288:F288"/>
    <mergeCell ref="G288:H288"/>
    <mergeCell ref="I288:J288"/>
    <mergeCell ref="K288:L288"/>
    <mergeCell ref="M288:N288"/>
    <mergeCell ref="B287:C287"/>
    <mergeCell ref="E287:F287"/>
    <mergeCell ref="G287:H287"/>
    <mergeCell ref="I287:J287"/>
    <mergeCell ref="K287:L287"/>
    <mergeCell ref="M287:N287"/>
    <mergeCell ref="B286:C286"/>
    <mergeCell ref="E286:F286"/>
    <mergeCell ref="G286:H286"/>
    <mergeCell ref="I286:J286"/>
    <mergeCell ref="K286:L286"/>
    <mergeCell ref="M286:N286"/>
    <mergeCell ref="B285:C285"/>
    <mergeCell ref="E285:F285"/>
    <mergeCell ref="G285:H285"/>
    <mergeCell ref="I285:J285"/>
    <mergeCell ref="K285:L285"/>
    <mergeCell ref="M285:N285"/>
    <mergeCell ref="B284:C284"/>
    <mergeCell ref="E284:F284"/>
    <mergeCell ref="G284:H284"/>
    <mergeCell ref="I284:J284"/>
    <mergeCell ref="K284:L284"/>
    <mergeCell ref="M284:N284"/>
    <mergeCell ref="B283:C283"/>
    <mergeCell ref="E283:F283"/>
    <mergeCell ref="G283:H283"/>
    <mergeCell ref="I283:J283"/>
    <mergeCell ref="K283:L283"/>
    <mergeCell ref="M283:N283"/>
    <mergeCell ref="B282:C282"/>
    <mergeCell ref="E282:F282"/>
    <mergeCell ref="G282:H282"/>
    <mergeCell ref="I282:J282"/>
    <mergeCell ref="K282:L282"/>
    <mergeCell ref="M282:N282"/>
    <mergeCell ref="B281:C281"/>
    <mergeCell ref="E281:F281"/>
    <mergeCell ref="G281:H281"/>
    <mergeCell ref="I281:J281"/>
    <mergeCell ref="K281:L281"/>
    <mergeCell ref="M281:N281"/>
    <mergeCell ref="B280:C280"/>
    <mergeCell ref="E280:F280"/>
    <mergeCell ref="G280:H280"/>
    <mergeCell ref="I280:J280"/>
    <mergeCell ref="K280:L280"/>
    <mergeCell ref="M280:N280"/>
    <mergeCell ref="B279:C279"/>
    <mergeCell ref="E279:F279"/>
    <mergeCell ref="G279:H279"/>
    <mergeCell ref="I279:J279"/>
    <mergeCell ref="K279:L279"/>
    <mergeCell ref="M279:N279"/>
    <mergeCell ref="B278:C278"/>
    <mergeCell ref="E278:F278"/>
    <mergeCell ref="G278:H278"/>
    <mergeCell ref="I278:J278"/>
    <mergeCell ref="K278:L278"/>
    <mergeCell ref="M278:N278"/>
    <mergeCell ref="B277:C277"/>
    <mergeCell ref="E277:F277"/>
    <mergeCell ref="G277:H277"/>
    <mergeCell ref="I277:J277"/>
    <mergeCell ref="K277:L277"/>
    <mergeCell ref="M277:N277"/>
    <mergeCell ref="B276:C276"/>
    <mergeCell ref="E276:F276"/>
    <mergeCell ref="G276:H276"/>
    <mergeCell ref="I276:J276"/>
    <mergeCell ref="K276:L276"/>
    <mergeCell ref="M276:N276"/>
    <mergeCell ref="B275:C275"/>
    <mergeCell ref="E275:F275"/>
    <mergeCell ref="G275:H275"/>
    <mergeCell ref="I275:J275"/>
    <mergeCell ref="K275:L275"/>
    <mergeCell ref="M275:N275"/>
    <mergeCell ref="B274:C274"/>
    <mergeCell ref="E274:F274"/>
    <mergeCell ref="G274:H274"/>
    <mergeCell ref="I274:J274"/>
    <mergeCell ref="K274:L274"/>
    <mergeCell ref="M274:N274"/>
    <mergeCell ref="B273:C273"/>
    <mergeCell ref="E273:F273"/>
    <mergeCell ref="G273:H273"/>
    <mergeCell ref="I273:J273"/>
    <mergeCell ref="K273:L273"/>
    <mergeCell ref="M273:N273"/>
    <mergeCell ref="B272:C272"/>
    <mergeCell ref="E272:F272"/>
    <mergeCell ref="G272:H272"/>
    <mergeCell ref="I272:J272"/>
    <mergeCell ref="K272:L272"/>
    <mergeCell ref="M272:N272"/>
    <mergeCell ref="B271:C271"/>
    <mergeCell ref="E271:F271"/>
    <mergeCell ref="G271:H271"/>
    <mergeCell ref="I271:J271"/>
    <mergeCell ref="K271:L271"/>
    <mergeCell ref="M271:N271"/>
    <mergeCell ref="B270:C270"/>
    <mergeCell ref="E270:F270"/>
    <mergeCell ref="G270:H270"/>
    <mergeCell ref="I270:J270"/>
    <mergeCell ref="K270:L270"/>
    <mergeCell ref="M270:N270"/>
    <mergeCell ref="B269:C269"/>
    <mergeCell ref="E269:F269"/>
    <mergeCell ref="G269:H269"/>
    <mergeCell ref="I269:J269"/>
    <mergeCell ref="K269:L269"/>
    <mergeCell ref="M269:N269"/>
    <mergeCell ref="B268:C268"/>
    <mergeCell ref="E268:F268"/>
    <mergeCell ref="G268:H268"/>
    <mergeCell ref="I268:J268"/>
    <mergeCell ref="K268:L268"/>
    <mergeCell ref="M268:N268"/>
    <mergeCell ref="B267:C267"/>
    <mergeCell ref="E267:F267"/>
    <mergeCell ref="G267:H267"/>
    <mergeCell ref="I267:J267"/>
    <mergeCell ref="K267:L267"/>
    <mergeCell ref="M267:N267"/>
    <mergeCell ref="B266:C266"/>
    <mergeCell ref="E266:F266"/>
    <mergeCell ref="G266:H266"/>
    <mergeCell ref="I266:J266"/>
    <mergeCell ref="K266:L266"/>
    <mergeCell ref="M266:N266"/>
    <mergeCell ref="B265:C265"/>
    <mergeCell ref="E265:F265"/>
    <mergeCell ref="G265:H265"/>
    <mergeCell ref="I265:J265"/>
    <mergeCell ref="K265:L265"/>
    <mergeCell ref="M265:N265"/>
    <mergeCell ref="P262:Q262"/>
    <mergeCell ref="B263:C264"/>
    <mergeCell ref="D263:D264"/>
    <mergeCell ref="E263:F264"/>
    <mergeCell ref="G263:J263"/>
    <mergeCell ref="K263:N263"/>
    <mergeCell ref="G264:H264"/>
    <mergeCell ref="I264:J264"/>
    <mergeCell ref="K264:L264"/>
    <mergeCell ref="M264:N264"/>
    <mergeCell ref="B260:C260"/>
    <mergeCell ref="D260:F260"/>
    <mergeCell ref="G260:I260"/>
    <mergeCell ref="L260:M260"/>
    <mergeCell ref="N260:O260"/>
    <mergeCell ref="K262:L262"/>
    <mergeCell ref="B258:C258"/>
    <mergeCell ref="D258:F258"/>
    <mergeCell ref="G258:I258"/>
    <mergeCell ref="L258:M258"/>
    <mergeCell ref="N258:O258"/>
    <mergeCell ref="B259:C259"/>
    <mergeCell ref="D259:F259"/>
    <mergeCell ref="G259:I259"/>
    <mergeCell ref="L259:M259"/>
    <mergeCell ref="N259:O259"/>
    <mergeCell ref="B256:C256"/>
    <mergeCell ref="D256:F256"/>
    <mergeCell ref="L256:M256"/>
    <mergeCell ref="N256:O256"/>
    <mergeCell ref="B257:C257"/>
    <mergeCell ref="D257:F257"/>
    <mergeCell ref="G257:I257"/>
    <mergeCell ref="L257:M257"/>
    <mergeCell ref="N257:O257"/>
    <mergeCell ref="B255:C255"/>
    <mergeCell ref="D255:F255"/>
    <mergeCell ref="L255:M255"/>
    <mergeCell ref="N255:O255"/>
    <mergeCell ref="P255:Q255"/>
    <mergeCell ref="U255:V255"/>
    <mergeCell ref="P253:Q253"/>
    <mergeCell ref="B254:C254"/>
    <mergeCell ref="D254:F254"/>
    <mergeCell ref="G254:I254"/>
    <mergeCell ref="L254:M254"/>
    <mergeCell ref="N254:O254"/>
    <mergeCell ref="P254:X254"/>
    <mergeCell ref="B243:C243"/>
    <mergeCell ref="D243:F243"/>
    <mergeCell ref="G243:I243"/>
    <mergeCell ref="L243:M243"/>
    <mergeCell ref="N243:O243"/>
    <mergeCell ref="B244:C244"/>
    <mergeCell ref="D244:F244"/>
    <mergeCell ref="G244:I244"/>
    <mergeCell ref="L244:M244"/>
    <mergeCell ref="N244:O244"/>
    <mergeCell ref="B241:C241"/>
    <mergeCell ref="D241:F241"/>
    <mergeCell ref="G241:I241"/>
    <mergeCell ref="L241:M241"/>
    <mergeCell ref="N241:O241"/>
    <mergeCell ref="B242:C242"/>
    <mergeCell ref="D242:F242"/>
    <mergeCell ref="G242:I242"/>
    <mergeCell ref="L242:M242"/>
    <mergeCell ref="N242:O242"/>
    <mergeCell ref="B239:C239"/>
    <mergeCell ref="D239:F239"/>
    <mergeCell ref="G239:I239"/>
    <mergeCell ref="L239:M239"/>
    <mergeCell ref="N239:O239"/>
    <mergeCell ref="B240:C240"/>
    <mergeCell ref="D240:F240"/>
    <mergeCell ref="G240:I240"/>
    <mergeCell ref="L240:M240"/>
    <mergeCell ref="N240:O240"/>
    <mergeCell ref="B237:C237"/>
    <mergeCell ref="D237:F237"/>
    <mergeCell ref="G237:I237"/>
    <mergeCell ref="L237:M237"/>
    <mergeCell ref="N237:O237"/>
    <mergeCell ref="B238:C238"/>
    <mergeCell ref="D238:F238"/>
    <mergeCell ref="G238:I238"/>
    <mergeCell ref="L238:M238"/>
    <mergeCell ref="N238:O238"/>
    <mergeCell ref="B235:C235"/>
    <mergeCell ref="D235:F235"/>
    <mergeCell ref="L235:M235"/>
    <mergeCell ref="N235:O235"/>
    <mergeCell ref="B236:C236"/>
    <mergeCell ref="D236:F236"/>
    <mergeCell ref="L236:M236"/>
    <mergeCell ref="N236:O236"/>
    <mergeCell ref="P233:X233"/>
    <mergeCell ref="B234:C234"/>
    <mergeCell ref="D234:F234"/>
    <mergeCell ref="L234:M234"/>
    <mergeCell ref="N234:O234"/>
    <mergeCell ref="P234:Q234"/>
    <mergeCell ref="U234:V234"/>
    <mergeCell ref="B229:C229"/>
    <mergeCell ref="D229:F229"/>
    <mergeCell ref="G229:I229"/>
    <mergeCell ref="L229:M229"/>
    <mergeCell ref="N229:O229"/>
    <mergeCell ref="B233:C233"/>
    <mergeCell ref="D233:F233"/>
    <mergeCell ref="G233:I233"/>
    <mergeCell ref="L233:M233"/>
    <mergeCell ref="N233:O233"/>
    <mergeCell ref="B227:C227"/>
    <mergeCell ref="D227:F227"/>
    <mergeCell ref="G227:I227"/>
    <mergeCell ref="L227:M227"/>
    <mergeCell ref="N227:O227"/>
    <mergeCell ref="B228:C228"/>
    <mergeCell ref="D228:F228"/>
    <mergeCell ref="G228:I228"/>
    <mergeCell ref="L228:M228"/>
    <mergeCell ref="N228:O228"/>
    <mergeCell ref="B225:C225"/>
    <mergeCell ref="D225:F225"/>
    <mergeCell ref="G225:I225"/>
    <mergeCell ref="L225:M225"/>
    <mergeCell ref="N225:O225"/>
    <mergeCell ref="B226:C226"/>
    <mergeCell ref="D226:F226"/>
    <mergeCell ref="G226:I226"/>
    <mergeCell ref="L226:M226"/>
    <mergeCell ref="N226:O226"/>
    <mergeCell ref="B223:C223"/>
    <mergeCell ref="D223:F223"/>
    <mergeCell ref="G223:I223"/>
    <mergeCell ref="L223:M223"/>
    <mergeCell ref="N223:O223"/>
    <mergeCell ref="B224:C224"/>
    <mergeCell ref="D224:F224"/>
    <mergeCell ref="G224:I224"/>
    <mergeCell ref="L224:M224"/>
    <mergeCell ref="N224:O224"/>
    <mergeCell ref="B221:C221"/>
    <mergeCell ref="D221:F221"/>
    <mergeCell ref="L221:M221"/>
    <mergeCell ref="N221:O221"/>
    <mergeCell ref="B222:C222"/>
    <mergeCell ref="D222:F222"/>
    <mergeCell ref="L222:M222"/>
    <mergeCell ref="N222:O222"/>
    <mergeCell ref="B220:C220"/>
    <mergeCell ref="D220:F220"/>
    <mergeCell ref="L220:M220"/>
    <mergeCell ref="N220:O220"/>
    <mergeCell ref="P220:Q220"/>
    <mergeCell ref="U220:V220"/>
    <mergeCell ref="B219:C219"/>
    <mergeCell ref="D219:F219"/>
    <mergeCell ref="G219:I219"/>
    <mergeCell ref="L219:M219"/>
    <mergeCell ref="N219:O219"/>
    <mergeCell ref="P219:X219"/>
    <mergeCell ref="B214:C214"/>
    <mergeCell ref="D214:F214"/>
    <mergeCell ref="G214:I214"/>
    <mergeCell ref="L214:M214"/>
    <mergeCell ref="N214:O214"/>
    <mergeCell ref="B215:C215"/>
    <mergeCell ref="D215:F215"/>
    <mergeCell ref="G215:I215"/>
    <mergeCell ref="L215:M215"/>
    <mergeCell ref="N215:O215"/>
    <mergeCell ref="B212:C212"/>
    <mergeCell ref="D212:F212"/>
    <mergeCell ref="G212:I212"/>
    <mergeCell ref="L212:M212"/>
    <mergeCell ref="N212:O212"/>
    <mergeCell ref="B213:C213"/>
    <mergeCell ref="D213:F213"/>
    <mergeCell ref="G213:I213"/>
    <mergeCell ref="L213:M213"/>
    <mergeCell ref="N213:O213"/>
    <mergeCell ref="B210:C210"/>
    <mergeCell ref="D210:F210"/>
    <mergeCell ref="G210:I210"/>
    <mergeCell ref="L210:M210"/>
    <mergeCell ref="N210:O210"/>
    <mergeCell ref="B211:C211"/>
    <mergeCell ref="D211:F211"/>
    <mergeCell ref="G211:I211"/>
    <mergeCell ref="L211:M211"/>
    <mergeCell ref="N211:O211"/>
    <mergeCell ref="B208:C208"/>
    <mergeCell ref="D208:F208"/>
    <mergeCell ref="G208:I208"/>
    <mergeCell ref="L208:M208"/>
    <mergeCell ref="N208:O208"/>
    <mergeCell ref="B209:C209"/>
    <mergeCell ref="D209:F209"/>
    <mergeCell ref="G209:I209"/>
    <mergeCell ref="L209:M209"/>
    <mergeCell ref="N209:O209"/>
    <mergeCell ref="B206:C206"/>
    <mergeCell ref="D206:F206"/>
    <mergeCell ref="L206:M206"/>
    <mergeCell ref="N206:O206"/>
    <mergeCell ref="B207:C207"/>
    <mergeCell ref="D207:F207"/>
    <mergeCell ref="L207:M207"/>
    <mergeCell ref="N207:O207"/>
    <mergeCell ref="B205:C205"/>
    <mergeCell ref="D205:F205"/>
    <mergeCell ref="L205:M205"/>
    <mergeCell ref="N205:O205"/>
    <mergeCell ref="P205:Q205"/>
    <mergeCell ref="U205:V205"/>
    <mergeCell ref="B204:C204"/>
    <mergeCell ref="D204:F204"/>
    <mergeCell ref="G204:I204"/>
    <mergeCell ref="L204:M204"/>
    <mergeCell ref="N204:O204"/>
    <mergeCell ref="P204:X204"/>
    <mergeCell ref="B199:C199"/>
    <mergeCell ref="D199:F199"/>
    <mergeCell ref="G199:I199"/>
    <mergeCell ref="L199:M199"/>
    <mergeCell ref="N199:O199"/>
    <mergeCell ref="B200:C200"/>
    <mergeCell ref="D200:F200"/>
    <mergeCell ref="G200:I200"/>
    <mergeCell ref="L200:M200"/>
    <mergeCell ref="N200:O200"/>
    <mergeCell ref="B197:C197"/>
    <mergeCell ref="D197:F197"/>
    <mergeCell ref="G197:I197"/>
    <mergeCell ref="L197:M197"/>
    <mergeCell ref="N197:O197"/>
    <mergeCell ref="B198:C198"/>
    <mergeCell ref="D198:F198"/>
    <mergeCell ref="G198:I198"/>
    <mergeCell ref="L198:M198"/>
    <mergeCell ref="N198:O198"/>
    <mergeCell ref="B195:C195"/>
    <mergeCell ref="D195:F195"/>
    <mergeCell ref="G195:I195"/>
    <mergeCell ref="L195:M195"/>
    <mergeCell ref="N195:O195"/>
    <mergeCell ref="B196:C196"/>
    <mergeCell ref="D196:F196"/>
    <mergeCell ref="G196:I196"/>
    <mergeCell ref="L196:M196"/>
    <mergeCell ref="N196:O196"/>
    <mergeCell ref="U193:X193"/>
    <mergeCell ref="B194:C194"/>
    <mergeCell ref="D194:F194"/>
    <mergeCell ref="G194:I194"/>
    <mergeCell ref="L194:M194"/>
    <mergeCell ref="N194:O194"/>
    <mergeCell ref="B193:C193"/>
    <mergeCell ref="D193:F193"/>
    <mergeCell ref="G193:I193"/>
    <mergeCell ref="L193:M193"/>
    <mergeCell ref="N193:O193"/>
    <mergeCell ref="S193:T193"/>
    <mergeCell ref="B191:C191"/>
    <mergeCell ref="D191:F191"/>
    <mergeCell ref="L191:M191"/>
    <mergeCell ref="N191:O191"/>
    <mergeCell ref="B192:C192"/>
    <mergeCell ref="D192:F192"/>
    <mergeCell ref="L192:M192"/>
    <mergeCell ref="N192:O192"/>
    <mergeCell ref="P189:X189"/>
    <mergeCell ref="B190:C190"/>
    <mergeCell ref="D190:F190"/>
    <mergeCell ref="L190:M190"/>
    <mergeCell ref="N190:O190"/>
    <mergeCell ref="P190:Q190"/>
    <mergeCell ref="U190:V190"/>
    <mergeCell ref="B185:C185"/>
    <mergeCell ref="D185:F185"/>
    <mergeCell ref="G185:I185"/>
    <mergeCell ref="L185:M185"/>
    <mergeCell ref="N185:O185"/>
    <mergeCell ref="B189:C189"/>
    <mergeCell ref="D189:F189"/>
    <mergeCell ref="G189:I189"/>
    <mergeCell ref="L189:M189"/>
    <mergeCell ref="N189:O189"/>
    <mergeCell ref="B183:C183"/>
    <mergeCell ref="D183:F183"/>
    <mergeCell ref="G183:I183"/>
    <mergeCell ref="L183:M183"/>
    <mergeCell ref="N183:O183"/>
    <mergeCell ref="B184:C184"/>
    <mergeCell ref="D184:F184"/>
    <mergeCell ref="G184:I184"/>
    <mergeCell ref="L184:M184"/>
    <mergeCell ref="N184:O184"/>
    <mergeCell ref="B181:C181"/>
    <mergeCell ref="D181:F181"/>
    <mergeCell ref="G181:I181"/>
    <mergeCell ref="L181:M181"/>
    <mergeCell ref="N181:O181"/>
    <mergeCell ref="B182:C182"/>
    <mergeCell ref="D182:F182"/>
    <mergeCell ref="G182:I182"/>
    <mergeCell ref="L182:M182"/>
    <mergeCell ref="N182:O182"/>
    <mergeCell ref="U179:X179"/>
    <mergeCell ref="B180:C180"/>
    <mergeCell ref="D180:F180"/>
    <mergeCell ref="G180:I180"/>
    <mergeCell ref="L180:M180"/>
    <mergeCell ref="N180:O180"/>
    <mergeCell ref="B179:C179"/>
    <mergeCell ref="D179:F179"/>
    <mergeCell ref="G179:I179"/>
    <mergeCell ref="L179:M179"/>
    <mergeCell ref="N179:O179"/>
    <mergeCell ref="S179:T179"/>
    <mergeCell ref="B177:C177"/>
    <mergeCell ref="D177:F177"/>
    <mergeCell ref="L177:M177"/>
    <mergeCell ref="N177:O177"/>
    <mergeCell ref="B178:C178"/>
    <mergeCell ref="D178:F178"/>
    <mergeCell ref="L178:M178"/>
    <mergeCell ref="N178:O178"/>
    <mergeCell ref="B176:C176"/>
    <mergeCell ref="D176:F176"/>
    <mergeCell ref="L176:M176"/>
    <mergeCell ref="N176:O176"/>
    <mergeCell ref="P176:Q176"/>
    <mergeCell ref="U176:V176"/>
    <mergeCell ref="B175:C175"/>
    <mergeCell ref="D175:F175"/>
    <mergeCell ref="G175:I175"/>
    <mergeCell ref="L175:M175"/>
    <mergeCell ref="N175:O175"/>
    <mergeCell ref="P175:X175"/>
    <mergeCell ref="B170:C170"/>
    <mergeCell ref="D170:F170"/>
    <mergeCell ref="G170:I170"/>
    <mergeCell ref="L170:M170"/>
    <mergeCell ref="N170:O170"/>
    <mergeCell ref="B171:C171"/>
    <mergeCell ref="D171:F171"/>
    <mergeCell ref="G171:I171"/>
    <mergeCell ref="L171:M171"/>
    <mergeCell ref="N171:O171"/>
    <mergeCell ref="B168:C168"/>
    <mergeCell ref="D168:F168"/>
    <mergeCell ref="G168:I168"/>
    <mergeCell ref="L168:M168"/>
    <mergeCell ref="N168:O168"/>
    <mergeCell ref="B169:C169"/>
    <mergeCell ref="D169:F169"/>
    <mergeCell ref="G169:I169"/>
    <mergeCell ref="L169:M169"/>
    <mergeCell ref="N169:O169"/>
    <mergeCell ref="B166:C166"/>
    <mergeCell ref="D166:F166"/>
    <mergeCell ref="G166:I166"/>
    <mergeCell ref="L166:M166"/>
    <mergeCell ref="N166:O166"/>
    <mergeCell ref="B167:C167"/>
    <mergeCell ref="D167:F167"/>
    <mergeCell ref="G167:I167"/>
    <mergeCell ref="L167:M167"/>
    <mergeCell ref="N167:O167"/>
    <mergeCell ref="B164:C164"/>
    <mergeCell ref="D164:F164"/>
    <mergeCell ref="G164:I164"/>
    <mergeCell ref="L164:M164"/>
    <mergeCell ref="N164:O164"/>
    <mergeCell ref="B165:C165"/>
    <mergeCell ref="D165:F165"/>
    <mergeCell ref="G165:I165"/>
    <mergeCell ref="L165:M165"/>
    <mergeCell ref="N165:O165"/>
    <mergeCell ref="B162:C162"/>
    <mergeCell ref="D162:F162"/>
    <mergeCell ref="G162:I162"/>
    <mergeCell ref="L162:M162"/>
    <mergeCell ref="N162:O162"/>
    <mergeCell ref="B163:C163"/>
    <mergeCell ref="D163:F163"/>
    <mergeCell ref="G163:I163"/>
    <mergeCell ref="L163:M163"/>
    <mergeCell ref="N163:O163"/>
    <mergeCell ref="B160:C160"/>
    <mergeCell ref="D160:F160"/>
    <mergeCell ref="G160:I160"/>
    <mergeCell ref="L160:M160"/>
    <mergeCell ref="N160:O160"/>
    <mergeCell ref="B161:C161"/>
    <mergeCell ref="D161:F161"/>
    <mergeCell ref="G161:I161"/>
    <mergeCell ref="L161:M161"/>
    <mergeCell ref="N161:O161"/>
    <mergeCell ref="B158:C158"/>
    <mergeCell ref="D158:F158"/>
    <mergeCell ref="L158:M158"/>
    <mergeCell ref="N158:O158"/>
    <mergeCell ref="B159:C159"/>
    <mergeCell ref="D159:F159"/>
    <mergeCell ref="L159:M159"/>
    <mergeCell ref="N159:O159"/>
    <mergeCell ref="P156:X156"/>
    <mergeCell ref="B157:C157"/>
    <mergeCell ref="D157:F157"/>
    <mergeCell ref="L157:M157"/>
    <mergeCell ref="N157:O157"/>
    <mergeCell ref="P157:Q157"/>
    <mergeCell ref="U157:V157"/>
    <mergeCell ref="B152:C152"/>
    <mergeCell ref="D152:F152"/>
    <mergeCell ref="G152:I152"/>
    <mergeCell ref="L152:M152"/>
    <mergeCell ref="N152:O152"/>
    <mergeCell ref="B156:C156"/>
    <mergeCell ref="D156:F156"/>
    <mergeCell ref="G156:I156"/>
    <mergeCell ref="L156:M156"/>
    <mergeCell ref="N156:O156"/>
    <mergeCell ref="B150:C150"/>
    <mergeCell ref="D150:F150"/>
    <mergeCell ref="G150:I150"/>
    <mergeCell ref="L150:M150"/>
    <mergeCell ref="N150:O150"/>
    <mergeCell ref="B151:C151"/>
    <mergeCell ref="D151:F151"/>
    <mergeCell ref="G151:I151"/>
    <mergeCell ref="L151:M151"/>
    <mergeCell ref="N151:O151"/>
    <mergeCell ref="B148:C148"/>
    <mergeCell ref="D148:F148"/>
    <mergeCell ref="G148:I148"/>
    <mergeCell ref="L148:M148"/>
    <mergeCell ref="N148:O148"/>
    <mergeCell ref="B149:C149"/>
    <mergeCell ref="D149:F149"/>
    <mergeCell ref="G149:I149"/>
    <mergeCell ref="L149:M149"/>
    <mergeCell ref="N149:O149"/>
    <mergeCell ref="B146:C146"/>
    <mergeCell ref="D146:F146"/>
    <mergeCell ref="G146:I146"/>
    <mergeCell ref="L146:M146"/>
    <mergeCell ref="N146:O146"/>
    <mergeCell ref="B147:C147"/>
    <mergeCell ref="D147:F147"/>
    <mergeCell ref="G147:I147"/>
    <mergeCell ref="L147:M147"/>
    <mergeCell ref="N147:O147"/>
    <mergeCell ref="B144:C144"/>
    <mergeCell ref="D144:F144"/>
    <mergeCell ref="L144:M144"/>
    <mergeCell ref="N144:O144"/>
    <mergeCell ref="B145:C145"/>
    <mergeCell ref="D145:F145"/>
    <mergeCell ref="L145:M145"/>
    <mergeCell ref="N145:O145"/>
    <mergeCell ref="B143:C143"/>
    <mergeCell ref="D143:F143"/>
    <mergeCell ref="L143:M143"/>
    <mergeCell ref="N143:O143"/>
    <mergeCell ref="P143:Q143"/>
    <mergeCell ref="U143:V143"/>
    <mergeCell ref="B142:C142"/>
    <mergeCell ref="D142:F142"/>
    <mergeCell ref="G142:I142"/>
    <mergeCell ref="L142:M142"/>
    <mergeCell ref="N142:O142"/>
    <mergeCell ref="P142:X142"/>
    <mergeCell ref="B137:C137"/>
    <mergeCell ref="D137:F137"/>
    <mergeCell ref="G137:I137"/>
    <mergeCell ref="L137:M137"/>
    <mergeCell ref="N137:O137"/>
    <mergeCell ref="B138:C138"/>
    <mergeCell ref="D138:F138"/>
    <mergeCell ref="G138:I138"/>
    <mergeCell ref="L138:M138"/>
    <mergeCell ref="N138:O138"/>
    <mergeCell ref="B135:C135"/>
    <mergeCell ref="D135:F135"/>
    <mergeCell ref="G135:I135"/>
    <mergeCell ref="L135:M135"/>
    <mergeCell ref="N135:O135"/>
    <mergeCell ref="B136:C136"/>
    <mergeCell ref="D136:F136"/>
    <mergeCell ref="G136:I136"/>
    <mergeCell ref="L136:M136"/>
    <mergeCell ref="N136:O136"/>
    <mergeCell ref="B133:C133"/>
    <mergeCell ref="D133:F133"/>
    <mergeCell ref="G133:I133"/>
    <mergeCell ref="L133:M133"/>
    <mergeCell ref="N133:O133"/>
    <mergeCell ref="B134:C134"/>
    <mergeCell ref="D134:F134"/>
    <mergeCell ref="G134:I134"/>
    <mergeCell ref="L134:M134"/>
    <mergeCell ref="N134:O134"/>
    <mergeCell ref="B131:C131"/>
    <mergeCell ref="D131:F131"/>
    <mergeCell ref="G131:I131"/>
    <mergeCell ref="L131:M131"/>
    <mergeCell ref="N131:O131"/>
    <mergeCell ref="B132:C132"/>
    <mergeCell ref="D132:F132"/>
    <mergeCell ref="G132:I132"/>
    <mergeCell ref="L132:M132"/>
    <mergeCell ref="N132:O132"/>
    <mergeCell ref="B129:C129"/>
    <mergeCell ref="D129:F129"/>
    <mergeCell ref="L129:M129"/>
    <mergeCell ref="N129:O129"/>
    <mergeCell ref="B130:C130"/>
    <mergeCell ref="D130:F130"/>
    <mergeCell ref="L130:M130"/>
    <mergeCell ref="N130:O130"/>
    <mergeCell ref="P127:X127"/>
    <mergeCell ref="B128:C128"/>
    <mergeCell ref="D128:F128"/>
    <mergeCell ref="L128:M128"/>
    <mergeCell ref="N128:O128"/>
    <mergeCell ref="P128:Q128"/>
    <mergeCell ref="U128:V128"/>
    <mergeCell ref="B123:C123"/>
    <mergeCell ref="D123:F123"/>
    <mergeCell ref="G123:I123"/>
    <mergeCell ref="L123:M123"/>
    <mergeCell ref="N123:O123"/>
    <mergeCell ref="B127:C127"/>
    <mergeCell ref="D127:F127"/>
    <mergeCell ref="G127:I127"/>
    <mergeCell ref="L127:M127"/>
    <mergeCell ref="N127:O127"/>
    <mergeCell ref="B121:C121"/>
    <mergeCell ref="D121:F121"/>
    <mergeCell ref="G121:I121"/>
    <mergeCell ref="L121:M121"/>
    <mergeCell ref="N121:O121"/>
    <mergeCell ref="B122:C122"/>
    <mergeCell ref="D122:F122"/>
    <mergeCell ref="G122:I122"/>
    <mergeCell ref="L122:M122"/>
    <mergeCell ref="N122:O122"/>
    <mergeCell ref="S119:T119"/>
    <mergeCell ref="B120:C120"/>
    <mergeCell ref="D120:F120"/>
    <mergeCell ref="G120:I120"/>
    <mergeCell ref="L120:M120"/>
    <mergeCell ref="N120:O120"/>
    <mergeCell ref="B118:C118"/>
    <mergeCell ref="D118:F118"/>
    <mergeCell ref="L118:M118"/>
    <mergeCell ref="N118:O118"/>
    <mergeCell ref="U118:W118"/>
    <mergeCell ref="B119:C119"/>
    <mergeCell ref="D119:F119"/>
    <mergeCell ref="G119:I119"/>
    <mergeCell ref="L119:M119"/>
    <mergeCell ref="N119:O119"/>
    <mergeCell ref="P116:X116"/>
    <mergeCell ref="B117:C117"/>
    <mergeCell ref="D117:F117"/>
    <mergeCell ref="L117:M117"/>
    <mergeCell ref="N117:O117"/>
    <mergeCell ref="U117:W117"/>
    <mergeCell ref="B112:C112"/>
    <mergeCell ref="D112:F112"/>
    <mergeCell ref="G112:I112"/>
    <mergeCell ref="L112:M112"/>
    <mergeCell ref="N112:O112"/>
    <mergeCell ref="B116:C116"/>
    <mergeCell ref="D116:F116"/>
    <mergeCell ref="G116:I116"/>
    <mergeCell ref="L116:M116"/>
    <mergeCell ref="N116:O116"/>
    <mergeCell ref="B110:C110"/>
    <mergeCell ref="D110:F110"/>
    <mergeCell ref="G110:I110"/>
    <mergeCell ref="L110:M110"/>
    <mergeCell ref="N110:O110"/>
    <mergeCell ref="B111:C111"/>
    <mergeCell ref="D111:F111"/>
    <mergeCell ref="G111:I111"/>
    <mergeCell ref="L111:M111"/>
    <mergeCell ref="N111:O111"/>
    <mergeCell ref="B108:C108"/>
    <mergeCell ref="D108:F108"/>
    <mergeCell ref="G108:I108"/>
    <mergeCell ref="L108:M108"/>
    <mergeCell ref="N108:O108"/>
    <mergeCell ref="B109:C109"/>
    <mergeCell ref="D109:F109"/>
    <mergeCell ref="G109:I109"/>
    <mergeCell ref="L109:M109"/>
    <mergeCell ref="N109:O109"/>
    <mergeCell ref="B106:C106"/>
    <mergeCell ref="D106:F106"/>
    <mergeCell ref="G106:I106"/>
    <mergeCell ref="L106:M106"/>
    <mergeCell ref="N106:O106"/>
    <mergeCell ref="B107:C107"/>
    <mergeCell ref="D107:F107"/>
    <mergeCell ref="G107:I107"/>
    <mergeCell ref="L107:M107"/>
    <mergeCell ref="N107:O107"/>
    <mergeCell ref="B104:C104"/>
    <mergeCell ref="D104:F104"/>
    <mergeCell ref="L104:M104"/>
    <mergeCell ref="N104:O104"/>
    <mergeCell ref="B105:C105"/>
    <mergeCell ref="D105:F105"/>
    <mergeCell ref="L105:M105"/>
    <mergeCell ref="N105:O105"/>
    <mergeCell ref="P102:X102"/>
    <mergeCell ref="B103:C103"/>
    <mergeCell ref="D103:F103"/>
    <mergeCell ref="L103:M103"/>
    <mergeCell ref="N103:O103"/>
    <mergeCell ref="P103:Q103"/>
    <mergeCell ref="U103:V103"/>
    <mergeCell ref="B98:C98"/>
    <mergeCell ref="D98:F98"/>
    <mergeCell ref="G98:I98"/>
    <mergeCell ref="L98:M98"/>
    <mergeCell ref="N98:O98"/>
    <mergeCell ref="B102:C102"/>
    <mergeCell ref="D102:F102"/>
    <mergeCell ref="G102:I102"/>
    <mergeCell ref="L102:M102"/>
    <mergeCell ref="N102:O102"/>
    <mergeCell ref="B96:C96"/>
    <mergeCell ref="D96:F96"/>
    <mergeCell ref="G96:I96"/>
    <mergeCell ref="L96:M96"/>
    <mergeCell ref="N96:O96"/>
    <mergeCell ref="B97:C97"/>
    <mergeCell ref="D97:F97"/>
    <mergeCell ref="G97:I97"/>
    <mergeCell ref="L97:M97"/>
    <mergeCell ref="N97:O97"/>
    <mergeCell ref="B94:C94"/>
    <mergeCell ref="D94:F94"/>
    <mergeCell ref="G94:I94"/>
    <mergeCell ref="L94:M94"/>
    <mergeCell ref="N94:O94"/>
    <mergeCell ref="B95:C95"/>
    <mergeCell ref="D95:F95"/>
    <mergeCell ref="G95:I95"/>
    <mergeCell ref="L95:M95"/>
    <mergeCell ref="N95:O95"/>
    <mergeCell ref="B92:C92"/>
    <mergeCell ref="D92:F92"/>
    <mergeCell ref="G92:I92"/>
    <mergeCell ref="L92:M92"/>
    <mergeCell ref="N92:O92"/>
    <mergeCell ref="B93:C93"/>
    <mergeCell ref="D93:F93"/>
    <mergeCell ref="G93:I93"/>
    <mergeCell ref="L93:M93"/>
    <mergeCell ref="N93:O93"/>
    <mergeCell ref="B90:C90"/>
    <mergeCell ref="D90:F90"/>
    <mergeCell ref="L90:M90"/>
    <mergeCell ref="N90:O90"/>
    <mergeCell ref="B91:C91"/>
    <mergeCell ref="D91:F91"/>
    <mergeCell ref="L91:M91"/>
    <mergeCell ref="N91:O91"/>
    <mergeCell ref="B89:C89"/>
    <mergeCell ref="D89:F89"/>
    <mergeCell ref="L89:M89"/>
    <mergeCell ref="N89:O89"/>
    <mergeCell ref="P89:Q89"/>
    <mergeCell ref="U89:V89"/>
    <mergeCell ref="B88:C88"/>
    <mergeCell ref="D88:F88"/>
    <mergeCell ref="G88:I88"/>
    <mergeCell ref="L88:M88"/>
    <mergeCell ref="N88:O88"/>
    <mergeCell ref="P88:X88"/>
    <mergeCell ref="B83:C83"/>
    <mergeCell ref="D83:F83"/>
    <mergeCell ref="G83:I83"/>
    <mergeCell ref="L83:M83"/>
    <mergeCell ref="N83:O83"/>
    <mergeCell ref="B84:C84"/>
    <mergeCell ref="D84:F84"/>
    <mergeCell ref="G84:I84"/>
    <mergeCell ref="L84:M84"/>
    <mergeCell ref="N84:O84"/>
    <mergeCell ref="B81:C81"/>
    <mergeCell ref="D81:F81"/>
    <mergeCell ref="G81:I81"/>
    <mergeCell ref="L81:M81"/>
    <mergeCell ref="N81:O81"/>
    <mergeCell ref="B82:C82"/>
    <mergeCell ref="D82:F82"/>
    <mergeCell ref="G82:I82"/>
    <mergeCell ref="L82:M82"/>
    <mergeCell ref="N82:O82"/>
    <mergeCell ref="B79:C79"/>
    <mergeCell ref="D79:F79"/>
    <mergeCell ref="G79:I79"/>
    <mergeCell ref="L79:M79"/>
    <mergeCell ref="N79:O79"/>
    <mergeCell ref="B80:C80"/>
    <mergeCell ref="D80:F80"/>
    <mergeCell ref="G80:I80"/>
    <mergeCell ref="L80:M80"/>
    <mergeCell ref="N80:O80"/>
    <mergeCell ref="B77:C77"/>
    <mergeCell ref="D77:F77"/>
    <mergeCell ref="G77:I77"/>
    <mergeCell ref="L77:M77"/>
    <mergeCell ref="N77:O77"/>
    <mergeCell ref="B78:C78"/>
    <mergeCell ref="D78:F78"/>
    <mergeCell ref="G78:I78"/>
    <mergeCell ref="L78:M78"/>
    <mergeCell ref="N78:O78"/>
    <mergeCell ref="B75:C75"/>
    <mergeCell ref="D75:F75"/>
    <mergeCell ref="L75:M75"/>
    <mergeCell ref="N75:O75"/>
    <mergeCell ref="B76:C76"/>
    <mergeCell ref="D76:F76"/>
    <mergeCell ref="L76:M76"/>
    <mergeCell ref="N76:O76"/>
    <mergeCell ref="B74:C74"/>
    <mergeCell ref="D74:F74"/>
    <mergeCell ref="L74:M74"/>
    <mergeCell ref="N74:O74"/>
    <mergeCell ref="P74:Q74"/>
    <mergeCell ref="U74:V74"/>
    <mergeCell ref="B73:C73"/>
    <mergeCell ref="D73:F73"/>
    <mergeCell ref="G73:I73"/>
    <mergeCell ref="L73:M73"/>
    <mergeCell ref="N73:O73"/>
    <mergeCell ref="P73:X73"/>
    <mergeCell ref="B68:C68"/>
    <mergeCell ref="D68:F68"/>
    <mergeCell ref="G68:I68"/>
    <mergeCell ref="L68:M68"/>
    <mergeCell ref="N68:O68"/>
    <mergeCell ref="B69:C69"/>
    <mergeCell ref="D69:F69"/>
    <mergeCell ref="G69:I69"/>
    <mergeCell ref="L69:M69"/>
    <mergeCell ref="N69:O69"/>
    <mergeCell ref="B66:C66"/>
    <mergeCell ref="D66:F66"/>
    <mergeCell ref="G66:I66"/>
    <mergeCell ref="L66:M66"/>
    <mergeCell ref="N66:O66"/>
    <mergeCell ref="B67:C67"/>
    <mergeCell ref="D67:F67"/>
    <mergeCell ref="G67:I67"/>
    <mergeCell ref="L67:M67"/>
    <mergeCell ref="N67:O67"/>
    <mergeCell ref="B64:C64"/>
    <mergeCell ref="D64:F64"/>
    <mergeCell ref="L64:M64"/>
    <mergeCell ref="N64:O64"/>
    <mergeCell ref="B65:C65"/>
    <mergeCell ref="D65:F65"/>
    <mergeCell ref="L65:M65"/>
    <mergeCell ref="N65:O65"/>
    <mergeCell ref="B63:C63"/>
    <mergeCell ref="D63:F63"/>
    <mergeCell ref="L63:M63"/>
    <mergeCell ref="N63:O63"/>
    <mergeCell ref="P63:Q63"/>
    <mergeCell ref="U63:V63"/>
    <mergeCell ref="B62:C62"/>
    <mergeCell ref="D62:F62"/>
    <mergeCell ref="G62:I62"/>
    <mergeCell ref="L62:M62"/>
    <mergeCell ref="N62:O62"/>
    <mergeCell ref="P62:X62"/>
    <mergeCell ref="B57:C57"/>
    <mergeCell ref="D57:F57"/>
    <mergeCell ref="G57:I57"/>
    <mergeCell ref="L57:M57"/>
    <mergeCell ref="N57:O57"/>
    <mergeCell ref="B58:C58"/>
    <mergeCell ref="D58:F58"/>
    <mergeCell ref="G58:I58"/>
    <mergeCell ref="L58:M58"/>
    <mergeCell ref="N58:O58"/>
    <mergeCell ref="B55:C55"/>
    <mergeCell ref="D55:F55"/>
    <mergeCell ref="G55:I55"/>
    <mergeCell ref="L55:M55"/>
    <mergeCell ref="N55:O55"/>
    <mergeCell ref="B56:C56"/>
    <mergeCell ref="D56:F56"/>
    <mergeCell ref="G56:I56"/>
    <mergeCell ref="L56:M56"/>
    <mergeCell ref="N56:O56"/>
    <mergeCell ref="P53:X53"/>
    <mergeCell ref="B54:C54"/>
    <mergeCell ref="D54:F54"/>
    <mergeCell ref="G54:I54"/>
    <mergeCell ref="L54:M54"/>
    <mergeCell ref="N54:O54"/>
    <mergeCell ref="U54:V54"/>
    <mergeCell ref="B50:C50"/>
    <mergeCell ref="D50:F50"/>
    <mergeCell ref="G50:I50"/>
    <mergeCell ref="L50:M50"/>
    <mergeCell ref="N50:O50"/>
    <mergeCell ref="B53:C53"/>
    <mergeCell ref="D53:F53"/>
    <mergeCell ref="G53:I53"/>
    <mergeCell ref="L53:M53"/>
    <mergeCell ref="N53:O53"/>
    <mergeCell ref="B48:C48"/>
    <mergeCell ref="D48:F48"/>
    <mergeCell ref="G48:I48"/>
    <mergeCell ref="L48:M48"/>
    <mergeCell ref="N48:O48"/>
    <mergeCell ref="B49:C49"/>
    <mergeCell ref="D49:F49"/>
    <mergeCell ref="G49:I49"/>
    <mergeCell ref="L49:M49"/>
    <mergeCell ref="N49:O49"/>
    <mergeCell ref="B46:C46"/>
    <mergeCell ref="D46:F46"/>
    <mergeCell ref="G46:I46"/>
    <mergeCell ref="L46:M46"/>
    <mergeCell ref="N46:O46"/>
    <mergeCell ref="B47:C47"/>
    <mergeCell ref="D47:F47"/>
    <mergeCell ref="G47:I47"/>
    <mergeCell ref="L47:M47"/>
    <mergeCell ref="N47:O47"/>
    <mergeCell ref="B44:C44"/>
    <mergeCell ref="D44:F44"/>
    <mergeCell ref="L44:M44"/>
    <mergeCell ref="N44:O44"/>
    <mergeCell ref="B45:C45"/>
    <mergeCell ref="D45:F45"/>
    <mergeCell ref="L45:M45"/>
    <mergeCell ref="N45:O45"/>
    <mergeCell ref="B43:C43"/>
    <mergeCell ref="D43:F43"/>
    <mergeCell ref="L43:M43"/>
    <mergeCell ref="N43:O43"/>
    <mergeCell ref="P43:Q43"/>
    <mergeCell ref="U43:V43"/>
    <mergeCell ref="B42:C42"/>
    <mergeCell ref="D42:F42"/>
    <mergeCell ref="G42:I42"/>
    <mergeCell ref="L42:M42"/>
    <mergeCell ref="N42:O42"/>
    <mergeCell ref="P42:X42"/>
    <mergeCell ref="B36:F36"/>
    <mergeCell ref="I36:J36"/>
    <mergeCell ref="K36:M36"/>
    <mergeCell ref="N36:Q36"/>
    <mergeCell ref="C38:E38"/>
    <mergeCell ref="F38:G38"/>
    <mergeCell ref="B34:F34"/>
    <mergeCell ref="I34:J34"/>
    <mergeCell ref="K34:M34"/>
    <mergeCell ref="N34:Q34"/>
    <mergeCell ref="B35:F35"/>
    <mergeCell ref="I35:J35"/>
    <mergeCell ref="K35:M35"/>
    <mergeCell ref="N35:Q35"/>
    <mergeCell ref="B32:F32"/>
    <mergeCell ref="I32:J32"/>
    <mergeCell ref="K32:M32"/>
    <mergeCell ref="N32:Q32"/>
    <mergeCell ref="B33:F33"/>
    <mergeCell ref="I33:J33"/>
    <mergeCell ref="K33:M33"/>
    <mergeCell ref="N33:Q33"/>
    <mergeCell ref="B30:F30"/>
    <mergeCell ref="I30:J30"/>
    <mergeCell ref="K30:M30"/>
    <mergeCell ref="N30:Q30"/>
    <mergeCell ref="B31:F31"/>
    <mergeCell ref="I31:J31"/>
    <mergeCell ref="K31:M31"/>
    <mergeCell ref="N31:Q31"/>
    <mergeCell ref="B28:F28"/>
    <mergeCell ref="I28:J28"/>
    <mergeCell ref="K28:M28"/>
    <mergeCell ref="N28:Q28"/>
    <mergeCell ref="B29:F29"/>
    <mergeCell ref="I29:J29"/>
    <mergeCell ref="K29:M29"/>
    <mergeCell ref="N29:Q29"/>
    <mergeCell ref="B26:F26"/>
    <mergeCell ref="I26:J26"/>
    <mergeCell ref="K26:M26"/>
    <mergeCell ref="N26:Q26"/>
    <mergeCell ref="B27:F27"/>
    <mergeCell ref="I27:J27"/>
    <mergeCell ref="K27:M27"/>
    <mergeCell ref="N27:Q27"/>
    <mergeCell ref="B24:C24"/>
    <mergeCell ref="D24:F24"/>
    <mergeCell ref="I24:J24"/>
    <mergeCell ref="K24:M24"/>
    <mergeCell ref="N24:Q24"/>
    <mergeCell ref="B25:F25"/>
    <mergeCell ref="I25:J25"/>
    <mergeCell ref="K25:M25"/>
    <mergeCell ref="N25:Q25"/>
    <mergeCell ref="B22:C22"/>
    <mergeCell ref="D22:F22"/>
    <mergeCell ref="I22:J22"/>
    <mergeCell ref="K22:M22"/>
    <mergeCell ref="N22:Q22"/>
    <mergeCell ref="B23:C23"/>
    <mergeCell ref="D23:F23"/>
    <mergeCell ref="I23:J23"/>
    <mergeCell ref="K23:M23"/>
    <mergeCell ref="N23:Q23"/>
    <mergeCell ref="B20:C20"/>
    <mergeCell ref="D20:F20"/>
    <mergeCell ref="I20:J20"/>
    <mergeCell ref="K20:M20"/>
    <mergeCell ref="N20:Q20"/>
    <mergeCell ref="B21:C21"/>
    <mergeCell ref="D21:F21"/>
    <mergeCell ref="I21:J21"/>
    <mergeCell ref="K21:M21"/>
    <mergeCell ref="N21:Q21"/>
    <mergeCell ref="B18:F18"/>
    <mergeCell ref="I18:J18"/>
    <mergeCell ref="K18:M18"/>
    <mergeCell ref="N18:Q18"/>
    <mergeCell ref="B19:F19"/>
    <mergeCell ref="I19:J19"/>
    <mergeCell ref="K19:M19"/>
    <mergeCell ref="N19:Q19"/>
    <mergeCell ref="B16:C16"/>
    <mergeCell ref="D16:F16"/>
    <mergeCell ref="I16:J16"/>
    <mergeCell ref="K16:M16"/>
    <mergeCell ref="N16:Q16"/>
    <mergeCell ref="B17:F17"/>
    <mergeCell ref="I17:J17"/>
    <mergeCell ref="K17:M17"/>
    <mergeCell ref="N17:Q17"/>
    <mergeCell ref="B14:C14"/>
    <mergeCell ref="D14:F14"/>
    <mergeCell ref="I14:J14"/>
    <mergeCell ref="K14:M14"/>
    <mergeCell ref="N14:Q14"/>
    <mergeCell ref="B15:C15"/>
    <mergeCell ref="D15:F15"/>
    <mergeCell ref="I15:J15"/>
    <mergeCell ref="K15:M15"/>
    <mergeCell ref="N15:Q15"/>
    <mergeCell ref="B12:C12"/>
    <mergeCell ref="D12:F12"/>
    <mergeCell ref="I12:J12"/>
    <mergeCell ref="K12:M12"/>
    <mergeCell ref="N12:Q12"/>
    <mergeCell ref="B13:C13"/>
    <mergeCell ref="D13:F13"/>
    <mergeCell ref="I13:J13"/>
    <mergeCell ref="K13:M13"/>
    <mergeCell ref="N13:Q13"/>
    <mergeCell ref="B10:C10"/>
    <mergeCell ref="D10:F10"/>
    <mergeCell ref="I10:J10"/>
    <mergeCell ref="K10:M10"/>
    <mergeCell ref="N10:Q10"/>
    <mergeCell ref="B11:C11"/>
    <mergeCell ref="D11:F11"/>
    <mergeCell ref="I11:J11"/>
    <mergeCell ref="K11:M11"/>
    <mergeCell ref="N11:Q11"/>
    <mergeCell ref="B8:C8"/>
    <mergeCell ref="D8:F8"/>
    <mergeCell ref="I8:J8"/>
    <mergeCell ref="K8:M8"/>
    <mergeCell ref="N8:Q8"/>
    <mergeCell ref="B9:C9"/>
    <mergeCell ref="D9:F9"/>
    <mergeCell ref="I9:J9"/>
    <mergeCell ref="K9:M9"/>
    <mergeCell ref="N9:Q9"/>
    <mergeCell ref="B6:C6"/>
    <mergeCell ref="D6:F6"/>
    <mergeCell ref="I6:J6"/>
    <mergeCell ref="K6:M6"/>
    <mergeCell ref="N6:Q6"/>
    <mergeCell ref="B7:C7"/>
    <mergeCell ref="D7:F7"/>
    <mergeCell ref="I7:J7"/>
    <mergeCell ref="K7:M7"/>
    <mergeCell ref="N7:Q7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H105"/>
  <sheetViews>
    <sheetView workbookViewId="0">
      <selection activeCell="Q25" sqref="Q25"/>
    </sheetView>
  </sheetViews>
  <sheetFormatPr defaultColWidth="1.375" defaultRowHeight="13.5"/>
  <cols>
    <col min="1" max="1" width="1.875" style="321" customWidth="1"/>
    <col min="2" max="5" width="5.625" style="321" customWidth="1"/>
    <col min="6" max="7" width="8.625" style="629" customWidth="1"/>
    <col min="8" max="8" width="6.25" style="630" customWidth="1"/>
    <col min="9" max="9" width="6.625" style="629" customWidth="1"/>
    <col min="10" max="10" width="6.875" style="631" customWidth="1"/>
    <col min="11" max="256" width="1.375" style="321"/>
    <col min="257" max="257" width="1.875" style="321" customWidth="1"/>
    <col min="258" max="261" width="5.625" style="321" customWidth="1"/>
    <col min="262" max="263" width="8.625" style="321" customWidth="1"/>
    <col min="264" max="264" width="6.25" style="321" customWidth="1"/>
    <col min="265" max="265" width="6.625" style="321" customWidth="1"/>
    <col min="266" max="266" width="6.875" style="321" customWidth="1"/>
    <col min="267" max="512" width="1.375" style="321"/>
    <col min="513" max="513" width="1.875" style="321" customWidth="1"/>
    <col min="514" max="517" width="5.625" style="321" customWidth="1"/>
    <col min="518" max="519" width="8.625" style="321" customWidth="1"/>
    <col min="520" max="520" width="6.25" style="321" customWidth="1"/>
    <col min="521" max="521" width="6.625" style="321" customWidth="1"/>
    <col min="522" max="522" width="6.875" style="321" customWidth="1"/>
    <col min="523" max="768" width="1.375" style="321"/>
    <col min="769" max="769" width="1.875" style="321" customWidth="1"/>
    <col min="770" max="773" width="5.625" style="321" customWidth="1"/>
    <col min="774" max="775" width="8.625" style="321" customWidth="1"/>
    <col min="776" max="776" width="6.25" style="321" customWidth="1"/>
    <col min="777" max="777" width="6.625" style="321" customWidth="1"/>
    <col min="778" max="778" width="6.875" style="321" customWidth="1"/>
    <col min="779" max="1024" width="1.375" style="321"/>
    <col min="1025" max="1025" width="1.875" style="321" customWidth="1"/>
    <col min="1026" max="1029" width="5.625" style="321" customWidth="1"/>
    <col min="1030" max="1031" width="8.625" style="321" customWidth="1"/>
    <col min="1032" max="1032" width="6.25" style="321" customWidth="1"/>
    <col min="1033" max="1033" width="6.625" style="321" customWidth="1"/>
    <col min="1034" max="1034" width="6.875" style="321" customWidth="1"/>
    <col min="1035" max="1280" width="1.375" style="321"/>
    <col min="1281" max="1281" width="1.875" style="321" customWidth="1"/>
    <col min="1282" max="1285" width="5.625" style="321" customWidth="1"/>
    <col min="1286" max="1287" width="8.625" style="321" customWidth="1"/>
    <col min="1288" max="1288" width="6.25" style="321" customWidth="1"/>
    <col min="1289" max="1289" width="6.625" style="321" customWidth="1"/>
    <col min="1290" max="1290" width="6.875" style="321" customWidth="1"/>
    <col min="1291" max="1536" width="1.375" style="321"/>
    <col min="1537" max="1537" width="1.875" style="321" customWidth="1"/>
    <col min="1538" max="1541" width="5.625" style="321" customWidth="1"/>
    <col min="1542" max="1543" width="8.625" style="321" customWidth="1"/>
    <col min="1544" max="1544" width="6.25" style="321" customWidth="1"/>
    <col min="1545" max="1545" width="6.625" style="321" customWidth="1"/>
    <col min="1546" max="1546" width="6.875" style="321" customWidth="1"/>
    <col min="1547" max="1792" width="1.375" style="321"/>
    <col min="1793" max="1793" width="1.875" style="321" customWidth="1"/>
    <col min="1794" max="1797" width="5.625" style="321" customWidth="1"/>
    <col min="1798" max="1799" width="8.625" style="321" customWidth="1"/>
    <col min="1800" max="1800" width="6.25" style="321" customWidth="1"/>
    <col min="1801" max="1801" width="6.625" style="321" customWidth="1"/>
    <col min="1802" max="1802" width="6.875" style="321" customWidth="1"/>
    <col min="1803" max="2048" width="1.375" style="321"/>
    <col min="2049" max="2049" width="1.875" style="321" customWidth="1"/>
    <col min="2050" max="2053" width="5.625" style="321" customWidth="1"/>
    <col min="2054" max="2055" width="8.625" style="321" customWidth="1"/>
    <col min="2056" max="2056" width="6.25" style="321" customWidth="1"/>
    <col min="2057" max="2057" width="6.625" style="321" customWidth="1"/>
    <col min="2058" max="2058" width="6.875" style="321" customWidth="1"/>
    <col min="2059" max="2304" width="1.375" style="321"/>
    <col min="2305" max="2305" width="1.875" style="321" customWidth="1"/>
    <col min="2306" max="2309" width="5.625" style="321" customWidth="1"/>
    <col min="2310" max="2311" width="8.625" style="321" customWidth="1"/>
    <col min="2312" max="2312" width="6.25" style="321" customWidth="1"/>
    <col min="2313" max="2313" width="6.625" style="321" customWidth="1"/>
    <col min="2314" max="2314" width="6.875" style="321" customWidth="1"/>
    <col min="2315" max="2560" width="1.375" style="321"/>
    <col min="2561" max="2561" width="1.875" style="321" customWidth="1"/>
    <col min="2562" max="2565" width="5.625" style="321" customWidth="1"/>
    <col min="2566" max="2567" width="8.625" style="321" customWidth="1"/>
    <col min="2568" max="2568" width="6.25" style="321" customWidth="1"/>
    <col min="2569" max="2569" width="6.625" style="321" customWidth="1"/>
    <col min="2570" max="2570" width="6.875" style="321" customWidth="1"/>
    <col min="2571" max="2816" width="1.375" style="321"/>
    <col min="2817" max="2817" width="1.875" style="321" customWidth="1"/>
    <col min="2818" max="2821" width="5.625" style="321" customWidth="1"/>
    <col min="2822" max="2823" width="8.625" style="321" customWidth="1"/>
    <col min="2824" max="2824" width="6.25" style="321" customWidth="1"/>
    <col min="2825" max="2825" width="6.625" style="321" customWidth="1"/>
    <col min="2826" max="2826" width="6.875" style="321" customWidth="1"/>
    <col min="2827" max="3072" width="1.375" style="321"/>
    <col min="3073" max="3073" width="1.875" style="321" customWidth="1"/>
    <col min="3074" max="3077" width="5.625" style="321" customWidth="1"/>
    <col min="3078" max="3079" width="8.625" style="321" customWidth="1"/>
    <col min="3080" max="3080" width="6.25" style="321" customWidth="1"/>
    <col min="3081" max="3081" width="6.625" style="321" customWidth="1"/>
    <col min="3082" max="3082" width="6.875" style="321" customWidth="1"/>
    <col min="3083" max="3328" width="1.375" style="321"/>
    <col min="3329" max="3329" width="1.875" style="321" customWidth="1"/>
    <col min="3330" max="3333" width="5.625" style="321" customWidth="1"/>
    <col min="3334" max="3335" width="8.625" style="321" customWidth="1"/>
    <col min="3336" max="3336" width="6.25" style="321" customWidth="1"/>
    <col min="3337" max="3337" width="6.625" style="321" customWidth="1"/>
    <col min="3338" max="3338" width="6.875" style="321" customWidth="1"/>
    <col min="3339" max="3584" width="1.375" style="321"/>
    <col min="3585" max="3585" width="1.875" style="321" customWidth="1"/>
    <col min="3586" max="3589" width="5.625" style="321" customWidth="1"/>
    <col min="3590" max="3591" width="8.625" style="321" customWidth="1"/>
    <col min="3592" max="3592" width="6.25" style="321" customWidth="1"/>
    <col min="3593" max="3593" width="6.625" style="321" customWidth="1"/>
    <col min="3594" max="3594" width="6.875" style="321" customWidth="1"/>
    <col min="3595" max="3840" width="1.375" style="321"/>
    <col min="3841" max="3841" width="1.875" style="321" customWidth="1"/>
    <col min="3842" max="3845" width="5.625" style="321" customWidth="1"/>
    <col min="3846" max="3847" width="8.625" style="321" customWidth="1"/>
    <col min="3848" max="3848" width="6.25" style="321" customWidth="1"/>
    <col min="3849" max="3849" width="6.625" style="321" customWidth="1"/>
    <col min="3850" max="3850" width="6.875" style="321" customWidth="1"/>
    <col min="3851" max="4096" width="1.375" style="321"/>
    <col min="4097" max="4097" width="1.875" style="321" customWidth="1"/>
    <col min="4098" max="4101" width="5.625" style="321" customWidth="1"/>
    <col min="4102" max="4103" width="8.625" style="321" customWidth="1"/>
    <col min="4104" max="4104" width="6.25" style="321" customWidth="1"/>
    <col min="4105" max="4105" width="6.625" style="321" customWidth="1"/>
    <col min="4106" max="4106" width="6.875" style="321" customWidth="1"/>
    <col min="4107" max="4352" width="1.375" style="321"/>
    <col min="4353" max="4353" width="1.875" style="321" customWidth="1"/>
    <col min="4354" max="4357" width="5.625" style="321" customWidth="1"/>
    <col min="4358" max="4359" width="8.625" style="321" customWidth="1"/>
    <col min="4360" max="4360" width="6.25" style="321" customWidth="1"/>
    <col min="4361" max="4361" width="6.625" style="321" customWidth="1"/>
    <col min="4362" max="4362" width="6.875" style="321" customWidth="1"/>
    <col min="4363" max="4608" width="1.375" style="321"/>
    <col min="4609" max="4609" width="1.875" style="321" customWidth="1"/>
    <col min="4610" max="4613" width="5.625" style="321" customWidth="1"/>
    <col min="4614" max="4615" width="8.625" style="321" customWidth="1"/>
    <col min="4616" max="4616" width="6.25" style="321" customWidth="1"/>
    <col min="4617" max="4617" width="6.625" style="321" customWidth="1"/>
    <col min="4618" max="4618" width="6.875" style="321" customWidth="1"/>
    <col min="4619" max="4864" width="1.375" style="321"/>
    <col min="4865" max="4865" width="1.875" style="321" customWidth="1"/>
    <col min="4866" max="4869" width="5.625" style="321" customWidth="1"/>
    <col min="4870" max="4871" width="8.625" style="321" customWidth="1"/>
    <col min="4872" max="4872" width="6.25" style="321" customWidth="1"/>
    <col min="4873" max="4873" width="6.625" style="321" customWidth="1"/>
    <col min="4874" max="4874" width="6.875" style="321" customWidth="1"/>
    <col min="4875" max="5120" width="1.375" style="321"/>
    <col min="5121" max="5121" width="1.875" style="321" customWidth="1"/>
    <col min="5122" max="5125" width="5.625" style="321" customWidth="1"/>
    <col min="5126" max="5127" width="8.625" style="321" customWidth="1"/>
    <col min="5128" max="5128" width="6.25" style="321" customWidth="1"/>
    <col min="5129" max="5129" width="6.625" style="321" customWidth="1"/>
    <col min="5130" max="5130" width="6.875" style="321" customWidth="1"/>
    <col min="5131" max="5376" width="1.375" style="321"/>
    <col min="5377" max="5377" width="1.875" style="321" customWidth="1"/>
    <col min="5378" max="5381" width="5.625" style="321" customWidth="1"/>
    <col min="5382" max="5383" width="8.625" style="321" customWidth="1"/>
    <col min="5384" max="5384" width="6.25" style="321" customWidth="1"/>
    <col min="5385" max="5385" width="6.625" style="321" customWidth="1"/>
    <col min="5386" max="5386" width="6.875" style="321" customWidth="1"/>
    <col min="5387" max="5632" width="1.375" style="321"/>
    <col min="5633" max="5633" width="1.875" style="321" customWidth="1"/>
    <col min="5634" max="5637" width="5.625" style="321" customWidth="1"/>
    <col min="5638" max="5639" width="8.625" style="321" customWidth="1"/>
    <col min="5640" max="5640" width="6.25" style="321" customWidth="1"/>
    <col min="5641" max="5641" width="6.625" style="321" customWidth="1"/>
    <col min="5642" max="5642" width="6.875" style="321" customWidth="1"/>
    <col min="5643" max="5888" width="1.375" style="321"/>
    <col min="5889" max="5889" width="1.875" style="321" customWidth="1"/>
    <col min="5890" max="5893" width="5.625" style="321" customWidth="1"/>
    <col min="5894" max="5895" width="8.625" style="321" customWidth="1"/>
    <col min="5896" max="5896" width="6.25" style="321" customWidth="1"/>
    <col min="5897" max="5897" width="6.625" style="321" customWidth="1"/>
    <col min="5898" max="5898" width="6.875" style="321" customWidth="1"/>
    <col min="5899" max="6144" width="1.375" style="321"/>
    <col min="6145" max="6145" width="1.875" style="321" customWidth="1"/>
    <col min="6146" max="6149" width="5.625" style="321" customWidth="1"/>
    <col min="6150" max="6151" width="8.625" style="321" customWidth="1"/>
    <col min="6152" max="6152" width="6.25" style="321" customWidth="1"/>
    <col min="6153" max="6153" width="6.625" style="321" customWidth="1"/>
    <col min="6154" max="6154" width="6.875" style="321" customWidth="1"/>
    <col min="6155" max="6400" width="1.375" style="321"/>
    <col min="6401" max="6401" width="1.875" style="321" customWidth="1"/>
    <col min="6402" max="6405" width="5.625" style="321" customWidth="1"/>
    <col min="6406" max="6407" width="8.625" style="321" customWidth="1"/>
    <col min="6408" max="6408" width="6.25" style="321" customWidth="1"/>
    <col min="6409" max="6409" width="6.625" style="321" customWidth="1"/>
    <col min="6410" max="6410" width="6.875" style="321" customWidth="1"/>
    <col min="6411" max="6656" width="1.375" style="321"/>
    <col min="6657" max="6657" width="1.875" style="321" customWidth="1"/>
    <col min="6658" max="6661" width="5.625" style="321" customWidth="1"/>
    <col min="6662" max="6663" width="8.625" style="321" customWidth="1"/>
    <col min="6664" max="6664" width="6.25" style="321" customWidth="1"/>
    <col min="6665" max="6665" width="6.625" style="321" customWidth="1"/>
    <col min="6666" max="6666" width="6.875" style="321" customWidth="1"/>
    <col min="6667" max="6912" width="1.375" style="321"/>
    <col min="6913" max="6913" width="1.875" style="321" customWidth="1"/>
    <col min="6914" max="6917" width="5.625" style="321" customWidth="1"/>
    <col min="6918" max="6919" width="8.625" style="321" customWidth="1"/>
    <col min="6920" max="6920" width="6.25" style="321" customWidth="1"/>
    <col min="6921" max="6921" width="6.625" style="321" customWidth="1"/>
    <col min="6922" max="6922" width="6.875" style="321" customWidth="1"/>
    <col min="6923" max="7168" width="1.375" style="321"/>
    <col min="7169" max="7169" width="1.875" style="321" customWidth="1"/>
    <col min="7170" max="7173" width="5.625" style="321" customWidth="1"/>
    <col min="7174" max="7175" width="8.625" style="321" customWidth="1"/>
    <col min="7176" max="7176" width="6.25" style="321" customWidth="1"/>
    <col min="7177" max="7177" width="6.625" style="321" customWidth="1"/>
    <col min="7178" max="7178" width="6.875" style="321" customWidth="1"/>
    <col min="7179" max="7424" width="1.375" style="321"/>
    <col min="7425" max="7425" width="1.875" style="321" customWidth="1"/>
    <col min="7426" max="7429" width="5.625" style="321" customWidth="1"/>
    <col min="7430" max="7431" width="8.625" style="321" customWidth="1"/>
    <col min="7432" max="7432" width="6.25" style="321" customWidth="1"/>
    <col min="7433" max="7433" width="6.625" style="321" customWidth="1"/>
    <col min="7434" max="7434" width="6.875" style="321" customWidth="1"/>
    <col min="7435" max="7680" width="1.375" style="321"/>
    <col min="7681" max="7681" width="1.875" style="321" customWidth="1"/>
    <col min="7682" max="7685" width="5.625" style="321" customWidth="1"/>
    <col min="7686" max="7687" width="8.625" style="321" customWidth="1"/>
    <col min="7688" max="7688" width="6.25" style="321" customWidth="1"/>
    <col min="7689" max="7689" width="6.625" style="321" customWidth="1"/>
    <col min="7690" max="7690" width="6.875" style="321" customWidth="1"/>
    <col min="7691" max="7936" width="1.375" style="321"/>
    <col min="7937" max="7937" width="1.875" style="321" customWidth="1"/>
    <col min="7938" max="7941" width="5.625" style="321" customWidth="1"/>
    <col min="7942" max="7943" width="8.625" style="321" customWidth="1"/>
    <col min="7944" max="7944" width="6.25" style="321" customWidth="1"/>
    <col min="7945" max="7945" width="6.625" style="321" customWidth="1"/>
    <col min="7946" max="7946" width="6.875" style="321" customWidth="1"/>
    <col min="7947" max="8192" width="1.375" style="321"/>
    <col min="8193" max="8193" width="1.875" style="321" customWidth="1"/>
    <col min="8194" max="8197" width="5.625" style="321" customWidth="1"/>
    <col min="8198" max="8199" width="8.625" style="321" customWidth="1"/>
    <col min="8200" max="8200" width="6.25" style="321" customWidth="1"/>
    <col min="8201" max="8201" width="6.625" style="321" customWidth="1"/>
    <col min="8202" max="8202" width="6.875" style="321" customWidth="1"/>
    <col min="8203" max="8448" width="1.375" style="321"/>
    <col min="8449" max="8449" width="1.875" style="321" customWidth="1"/>
    <col min="8450" max="8453" width="5.625" style="321" customWidth="1"/>
    <col min="8454" max="8455" width="8.625" style="321" customWidth="1"/>
    <col min="8456" max="8456" width="6.25" style="321" customWidth="1"/>
    <col min="8457" max="8457" width="6.625" style="321" customWidth="1"/>
    <col min="8458" max="8458" width="6.875" style="321" customWidth="1"/>
    <col min="8459" max="8704" width="1.375" style="321"/>
    <col min="8705" max="8705" width="1.875" style="321" customWidth="1"/>
    <col min="8706" max="8709" width="5.625" style="321" customWidth="1"/>
    <col min="8710" max="8711" width="8.625" style="321" customWidth="1"/>
    <col min="8712" max="8712" width="6.25" style="321" customWidth="1"/>
    <col min="8713" max="8713" width="6.625" style="321" customWidth="1"/>
    <col min="8714" max="8714" width="6.875" style="321" customWidth="1"/>
    <col min="8715" max="8960" width="1.375" style="321"/>
    <col min="8961" max="8961" width="1.875" style="321" customWidth="1"/>
    <col min="8962" max="8965" width="5.625" style="321" customWidth="1"/>
    <col min="8966" max="8967" width="8.625" style="321" customWidth="1"/>
    <col min="8968" max="8968" width="6.25" style="321" customWidth="1"/>
    <col min="8969" max="8969" width="6.625" style="321" customWidth="1"/>
    <col min="8970" max="8970" width="6.875" style="321" customWidth="1"/>
    <col min="8971" max="9216" width="1.375" style="321"/>
    <col min="9217" max="9217" width="1.875" style="321" customWidth="1"/>
    <col min="9218" max="9221" width="5.625" style="321" customWidth="1"/>
    <col min="9222" max="9223" width="8.625" style="321" customWidth="1"/>
    <col min="9224" max="9224" width="6.25" style="321" customWidth="1"/>
    <col min="9225" max="9225" width="6.625" style="321" customWidth="1"/>
    <col min="9226" max="9226" width="6.875" style="321" customWidth="1"/>
    <col min="9227" max="9472" width="1.375" style="321"/>
    <col min="9473" max="9473" width="1.875" style="321" customWidth="1"/>
    <col min="9474" max="9477" width="5.625" style="321" customWidth="1"/>
    <col min="9478" max="9479" width="8.625" style="321" customWidth="1"/>
    <col min="9480" max="9480" width="6.25" style="321" customWidth="1"/>
    <col min="9481" max="9481" width="6.625" style="321" customWidth="1"/>
    <col min="9482" max="9482" width="6.875" style="321" customWidth="1"/>
    <col min="9483" max="9728" width="1.375" style="321"/>
    <col min="9729" max="9729" width="1.875" style="321" customWidth="1"/>
    <col min="9730" max="9733" width="5.625" style="321" customWidth="1"/>
    <col min="9734" max="9735" width="8.625" style="321" customWidth="1"/>
    <col min="9736" max="9736" width="6.25" style="321" customWidth="1"/>
    <col min="9737" max="9737" width="6.625" style="321" customWidth="1"/>
    <col min="9738" max="9738" width="6.875" style="321" customWidth="1"/>
    <col min="9739" max="9984" width="1.375" style="321"/>
    <col min="9985" max="9985" width="1.875" style="321" customWidth="1"/>
    <col min="9986" max="9989" width="5.625" style="321" customWidth="1"/>
    <col min="9990" max="9991" width="8.625" style="321" customWidth="1"/>
    <col min="9992" max="9992" width="6.25" style="321" customWidth="1"/>
    <col min="9993" max="9993" width="6.625" style="321" customWidth="1"/>
    <col min="9994" max="9994" width="6.875" style="321" customWidth="1"/>
    <col min="9995" max="10240" width="1.375" style="321"/>
    <col min="10241" max="10241" width="1.875" style="321" customWidth="1"/>
    <col min="10242" max="10245" width="5.625" style="321" customWidth="1"/>
    <col min="10246" max="10247" width="8.625" style="321" customWidth="1"/>
    <col min="10248" max="10248" width="6.25" style="321" customWidth="1"/>
    <col min="10249" max="10249" width="6.625" style="321" customWidth="1"/>
    <col min="10250" max="10250" width="6.875" style="321" customWidth="1"/>
    <col min="10251" max="10496" width="1.375" style="321"/>
    <col min="10497" max="10497" width="1.875" style="321" customWidth="1"/>
    <col min="10498" max="10501" width="5.625" style="321" customWidth="1"/>
    <col min="10502" max="10503" width="8.625" style="321" customWidth="1"/>
    <col min="10504" max="10504" width="6.25" style="321" customWidth="1"/>
    <col min="10505" max="10505" width="6.625" style="321" customWidth="1"/>
    <col min="10506" max="10506" width="6.875" style="321" customWidth="1"/>
    <col min="10507" max="10752" width="1.375" style="321"/>
    <col min="10753" max="10753" width="1.875" style="321" customWidth="1"/>
    <col min="10754" max="10757" width="5.625" style="321" customWidth="1"/>
    <col min="10758" max="10759" width="8.625" style="321" customWidth="1"/>
    <col min="10760" max="10760" width="6.25" style="321" customWidth="1"/>
    <col min="10761" max="10761" width="6.625" style="321" customWidth="1"/>
    <col min="10762" max="10762" width="6.875" style="321" customWidth="1"/>
    <col min="10763" max="11008" width="1.375" style="321"/>
    <col min="11009" max="11009" width="1.875" style="321" customWidth="1"/>
    <col min="11010" max="11013" width="5.625" style="321" customWidth="1"/>
    <col min="11014" max="11015" width="8.625" style="321" customWidth="1"/>
    <col min="11016" max="11016" width="6.25" style="321" customWidth="1"/>
    <col min="11017" max="11017" width="6.625" style="321" customWidth="1"/>
    <col min="11018" max="11018" width="6.875" style="321" customWidth="1"/>
    <col min="11019" max="11264" width="1.375" style="321"/>
    <col min="11265" max="11265" width="1.875" style="321" customWidth="1"/>
    <col min="11266" max="11269" width="5.625" style="321" customWidth="1"/>
    <col min="11270" max="11271" width="8.625" style="321" customWidth="1"/>
    <col min="11272" max="11272" width="6.25" style="321" customWidth="1"/>
    <col min="11273" max="11273" width="6.625" style="321" customWidth="1"/>
    <col min="11274" max="11274" width="6.875" style="321" customWidth="1"/>
    <col min="11275" max="11520" width="1.375" style="321"/>
    <col min="11521" max="11521" width="1.875" style="321" customWidth="1"/>
    <col min="11522" max="11525" width="5.625" style="321" customWidth="1"/>
    <col min="11526" max="11527" width="8.625" style="321" customWidth="1"/>
    <col min="11528" max="11528" width="6.25" style="321" customWidth="1"/>
    <col min="11529" max="11529" width="6.625" style="321" customWidth="1"/>
    <col min="11530" max="11530" width="6.875" style="321" customWidth="1"/>
    <col min="11531" max="11776" width="1.375" style="321"/>
    <col min="11777" max="11777" width="1.875" style="321" customWidth="1"/>
    <col min="11778" max="11781" width="5.625" style="321" customWidth="1"/>
    <col min="11782" max="11783" width="8.625" style="321" customWidth="1"/>
    <col min="11784" max="11784" width="6.25" style="321" customWidth="1"/>
    <col min="11785" max="11785" width="6.625" style="321" customWidth="1"/>
    <col min="11786" max="11786" width="6.875" style="321" customWidth="1"/>
    <col min="11787" max="12032" width="1.375" style="321"/>
    <col min="12033" max="12033" width="1.875" style="321" customWidth="1"/>
    <col min="12034" max="12037" width="5.625" style="321" customWidth="1"/>
    <col min="12038" max="12039" width="8.625" style="321" customWidth="1"/>
    <col min="12040" max="12040" width="6.25" style="321" customWidth="1"/>
    <col min="12041" max="12041" width="6.625" style="321" customWidth="1"/>
    <col min="12042" max="12042" width="6.875" style="321" customWidth="1"/>
    <col min="12043" max="12288" width="1.375" style="321"/>
    <col min="12289" max="12289" width="1.875" style="321" customWidth="1"/>
    <col min="12290" max="12293" width="5.625" style="321" customWidth="1"/>
    <col min="12294" max="12295" width="8.625" style="321" customWidth="1"/>
    <col min="12296" max="12296" width="6.25" style="321" customWidth="1"/>
    <col min="12297" max="12297" width="6.625" style="321" customWidth="1"/>
    <col min="12298" max="12298" width="6.875" style="321" customWidth="1"/>
    <col min="12299" max="12544" width="1.375" style="321"/>
    <col min="12545" max="12545" width="1.875" style="321" customWidth="1"/>
    <col min="12546" max="12549" width="5.625" style="321" customWidth="1"/>
    <col min="12550" max="12551" width="8.625" style="321" customWidth="1"/>
    <col min="12552" max="12552" width="6.25" style="321" customWidth="1"/>
    <col min="12553" max="12553" width="6.625" style="321" customWidth="1"/>
    <col min="12554" max="12554" width="6.875" style="321" customWidth="1"/>
    <col min="12555" max="12800" width="1.375" style="321"/>
    <col min="12801" max="12801" width="1.875" style="321" customWidth="1"/>
    <col min="12802" max="12805" width="5.625" style="321" customWidth="1"/>
    <col min="12806" max="12807" width="8.625" style="321" customWidth="1"/>
    <col min="12808" max="12808" width="6.25" style="321" customWidth="1"/>
    <col min="12809" max="12809" width="6.625" style="321" customWidth="1"/>
    <col min="12810" max="12810" width="6.875" style="321" customWidth="1"/>
    <col min="12811" max="13056" width="1.375" style="321"/>
    <col min="13057" max="13057" width="1.875" style="321" customWidth="1"/>
    <col min="13058" max="13061" width="5.625" style="321" customWidth="1"/>
    <col min="13062" max="13063" width="8.625" style="321" customWidth="1"/>
    <col min="13064" max="13064" width="6.25" style="321" customWidth="1"/>
    <col min="13065" max="13065" width="6.625" style="321" customWidth="1"/>
    <col min="13066" max="13066" width="6.875" style="321" customWidth="1"/>
    <col min="13067" max="13312" width="1.375" style="321"/>
    <col min="13313" max="13313" width="1.875" style="321" customWidth="1"/>
    <col min="13314" max="13317" width="5.625" style="321" customWidth="1"/>
    <col min="13318" max="13319" width="8.625" style="321" customWidth="1"/>
    <col min="13320" max="13320" width="6.25" style="321" customWidth="1"/>
    <col min="13321" max="13321" width="6.625" style="321" customWidth="1"/>
    <col min="13322" max="13322" width="6.875" style="321" customWidth="1"/>
    <col min="13323" max="13568" width="1.375" style="321"/>
    <col min="13569" max="13569" width="1.875" style="321" customWidth="1"/>
    <col min="13570" max="13573" width="5.625" style="321" customWidth="1"/>
    <col min="13574" max="13575" width="8.625" style="321" customWidth="1"/>
    <col min="13576" max="13576" width="6.25" style="321" customWidth="1"/>
    <col min="13577" max="13577" width="6.625" style="321" customWidth="1"/>
    <col min="13578" max="13578" width="6.875" style="321" customWidth="1"/>
    <col min="13579" max="13824" width="1.375" style="321"/>
    <col min="13825" max="13825" width="1.875" style="321" customWidth="1"/>
    <col min="13826" max="13829" width="5.625" style="321" customWidth="1"/>
    <col min="13830" max="13831" width="8.625" style="321" customWidth="1"/>
    <col min="13832" max="13832" width="6.25" style="321" customWidth="1"/>
    <col min="13833" max="13833" width="6.625" style="321" customWidth="1"/>
    <col min="13834" max="13834" width="6.875" style="321" customWidth="1"/>
    <col min="13835" max="14080" width="1.375" style="321"/>
    <col min="14081" max="14081" width="1.875" style="321" customWidth="1"/>
    <col min="14082" max="14085" width="5.625" style="321" customWidth="1"/>
    <col min="14086" max="14087" width="8.625" style="321" customWidth="1"/>
    <col min="14088" max="14088" width="6.25" style="321" customWidth="1"/>
    <col min="14089" max="14089" width="6.625" style="321" customWidth="1"/>
    <col min="14090" max="14090" width="6.875" style="321" customWidth="1"/>
    <col min="14091" max="14336" width="1.375" style="321"/>
    <col min="14337" max="14337" width="1.875" style="321" customWidth="1"/>
    <col min="14338" max="14341" width="5.625" style="321" customWidth="1"/>
    <col min="14342" max="14343" width="8.625" style="321" customWidth="1"/>
    <col min="14344" max="14344" width="6.25" style="321" customWidth="1"/>
    <col min="14345" max="14345" width="6.625" style="321" customWidth="1"/>
    <col min="14346" max="14346" width="6.875" style="321" customWidth="1"/>
    <col min="14347" max="14592" width="1.375" style="321"/>
    <col min="14593" max="14593" width="1.875" style="321" customWidth="1"/>
    <col min="14594" max="14597" width="5.625" style="321" customWidth="1"/>
    <col min="14598" max="14599" width="8.625" style="321" customWidth="1"/>
    <col min="14600" max="14600" width="6.25" style="321" customWidth="1"/>
    <col min="14601" max="14601" width="6.625" style="321" customWidth="1"/>
    <col min="14602" max="14602" width="6.875" style="321" customWidth="1"/>
    <col min="14603" max="14848" width="1.375" style="321"/>
    <col min="14849" max="14849" width="1.875" style="321" customWidth="1"/>
    <col min="14850" max="14853" width="5.625" style="321" customWidth="1"/>
    <col min="14854" max="14855" width="8.625" style="321" customWidth="1"/>
    <col min="14856" max="14856" width="6.25" style="321" customWidth="1"/>
    <col min="14857" max="14857" width="6.625" style="321" customWidth="1"/>
    <col min="14858" max="14858" width="6.875" style="321" customWidth="1"/>
    <col min="14859" max="15104" width="1.375" style="321"/>
    <col min="15105" max="15105" width="1.875" style="321" customWidth="1"/>
    <col min="15106" max="15109" width="5.625" style="321" customWidth="1"/>
    <col min="15110" max="15111" width="8.625" style="321" customWidth="1"/>
    <col min="15112" max="15112" width="6.25" style="321" customWidth="1"/>
    <col min="15113" max="15113" width="6.625" style="321" customWidth="1"/>
    <col min="15114" max="15114" width="6.875" style="321" customWidth="1"/>
    <col min="15115" max="15360" width="1.375" style="321"/>
    <col min="15361" max="15361" width="1.875" style="321" customWidth="1"/>
    <col min="15362" max="15365" width="5.625" style="321" customWidth="1"/>
    <col min="15366" max="15367" width="8.625" style="321" customWidth="1"/>
    <col min="15368" max="15368" width="6.25" style="321" customWidth="1"/>
    <col min="15369" max="15369" width="6.625" style="321" customWidth="1"/>
    <col min="15370" max="15370" width="6.875" style="321" customWidth="1"/>
    <col min="15371" max="15616" width="1.375" style="321"/>
    <col min="15617" max="15617" width="1.875" style="321" customWidth="1"/>
    <col min="15618" max="15621" width="5.625" style="321" customWidth="1"/>
    <col min="15622" max="15623" width="8.625" style="321" customWidth="1"/>
    <col min="15624" max="15624" width="6.25" style="321" customWidth="1"/>
    <col min="15625" max="15625" width="6.625" style="321" customWidth="1"/>
    <col min="15626" max="15626" width="6.875" style="321" customWidth="1"/>
    <col min="15627" max="15872" width="1.375" style="321"/>
    <col min="15873" max="15873" width="1.875" style="321" customWidth="1"/>
    <col min="15874" max="15877" width="5.625" style="321" customWidth="1"/>
    <col min="15878" max="15879" width="8.625" style="321" customWidth="1"/>
    <col min="15880" max="15880" width="6.25" style="321" customWidth="1"/>
    <col min="15881" max="15881" width="6.625" style="321" customWidth="1"/>
    <col min="15882" max="15882" width="6.875" style="321" customWidth="1"/>
    <col min="15883" max="16128" width="1.375" style="321"/>
    <col min="16129" max="16129" width="1.875" style="321" customWidth="1"/>
    <col min="16130" max="16133" width="5.625" style="321" customWidth="1"/>
    <col min="16134" max="16135" width="8.625" style="321" customWidth="1"/>
    <col min="16136" max="16136" width="6.25" style="321" customWidth="1"/>
    <col min="16137" max="16137" width="6.625" style="321" customWidth="1"/>
    <col min="16138" max="16138" width="6.875" style="321" customWidth="1"/>
    <col min="16139" max="16384" width="1.375" style="321"/>
  </cols>
  <sheetData>
    <row r="1" spans="1:164">
      <c r="A1" s="321" t="s">
        <v>1409</v>
      </c>
    </row>
    <row r="2" spans="1:164" ht="14.25">
      <c r="B2" s="628" t="s">
        <v>1350</v>
      </c>
    </row>
    <row r="4" spans="1:164" s="639" customFormat="1" ht="12">
      <c r="B4" s="632"/>
      <c r="C4" s="633"/>
      <c r="D4" s="633"/>
      <c r="E4" s="633"/>
      <c r="F4" s="634" t="s">
        <v>1351</v>
      </c>
      <c r="G4" s="634" t="s">
        <v>1351</v>
      </c>
      <c r="H4" s="635" t="s">
        <v>1351</v>
      </c>
      <c r="I4" s="634" t="s">
        <v>1351</v>
      </c>
      <c r="J4" s="636" t="s">
        <v>1352</v>
      </c>
      <c r="K4" s="637">
        <v>0</v>
      </c>
      <c r="L4" s="633"/>
      <c r="M4" s="633"/>
      <c r="N4" s="633"/>
      <c r="O4" s="632">
        <v>1</v>
      </c>
      <c r="P4" s="633"/>
      <c r="Q4" s="633"/>
      <c r="R4" s="633"/>
      <c r="S4" s="638"/>
      <c r="T4" s="632">
        <v>2</v>
      </c>
      <c r="U4" s="633"/>
      <c r="V4" s="633"/>
      <c r="W4" s="633"/>
      <c r="X4" s="638"/>
      <c r="Y4" s="632">
        <v>3</v>
      </c>
      <c r="Z4" s="633"/>
      <c r="AA4" s="633"/>
      <c r="AB4" s="633"/>
      <c r="AC4" s="638"/>
      <c r="AD4" s="632">
        <v>4</v>
      </c>
      <c r="AE4" s="633"/>
      <c r="AF4" s="633"/>
      <c r="AG4" s="633"/>
      <c r="AH4" s="638"/>
      <c r="AI4" s="632">
        <v>5</v>
      </c>
      <c r="AJ4" s="633"/>
      <c r="AK4" s="633"/>
      <c r="AL4" s="633"/>
      <c r="AM4" s="638"/>
      <c r="AN4" s="632">
        <v>6</v>
      </c>
      <c r="AO4" s="633"/>
      <c r="AP4" s="633"/>
      <c r="AQ4" s="633"/>
      <c r="AR4" s="638"/>
      <c r="AS4" s="632">
        <v>7</v>
      </c>
      <c r="AT4" s="633"/>
      <c r="AU4" s="633"/>
      <c r="AV4" s="633"/>
      <c r="AW4" s="638"/>
      <c r="AX4" s="632">
        <v>8</v>
      </c>
      <c r="AY4" s="633"/>
      <c r="AZ4" s="633"/>
      <c r="BA4" s="633"/>
      <c r="BB4" s="638"/>
      <c r="BC4" s="632">
        <v>9</v>
      </c>
      <c r="BD4" s="633"/>
      <c r="BE4" s="633"/>
      <c r="BF4" s="633"/>
      <c r="BG4" s="638"/>
      <c r="BH4" s="632">
        <v>1</v>
      </c>
      <c r="BI4" s="633">
        <v>0</v>
      </c>
      <c r="BJ4" s="633"/>
      <c r="BK4" s="633"/>
      <c r="BL4" s="638"/>
      <c r="BM4" s="632">
        <v>1</v>
      </c>
      <c r="BN4" s="633">
        <v>1</v>
      </c>
      <c r="BO4" s="633"/>
      <c r="BP4" s="633"/>
      <c r="BQ4" s="638"/>
      <c r="BR4" s="632">
        <v>1</v>
      </c>
      <c r="BS4" s="633">
        <v>2</v>
      </c>
      <c r="BT4" s="633"/>
      <c r="BU4" s="633"/>
      <c r="BV4" s="638"/>
      <c r="BW4" s="632">
        <v>1</v>
      </c>
      <c r="BX4" s="633">
        <v>3</v>
      </c>
      <c r="BY4" s="633"/>
      <c r="BZ4" s="633"/>
      <c r="CA4" s="638"/>
      <c r="CB4" s="632">
        <v>1</v>
      </c>
      <c r="CC4" s="633">
        <v>4</v>
      </c>
      <c r="CD4" s="633"/>
      <c r="CE4" s="633"/>
      <c r="CF4" s="638"/>
      <c r="CG4" s="632">
        <v>1</v>
      </c>
      <c r="CH4" s="633">
        <v>5</v>
      </c>
      <c r="CI4" s="633"/>
      <c r="CJ4" s="633"/>
      <c r="CK4" s="638"/>
      <c r="CL4" s="632">
        <v>1</v>
      </c>
      <c r="CM4" s="633">
        <v>6</v>
      </c>
      <c r="CN4" s="633"/>
      <c r="CO4" s="633"/>
      <c r="CP4" s="638"/>
      <c r="CQ4" s="632">
        <v>1</v>
      </c>
      <c r="CR4" s="633">
        <v>7</v>
      </c>
      <c r="CS4" s="633"/>
      <c r="CT4" s="633"/>
      <c r="CU4" s="638"/>
      <c r="CV4" s="632">
        <v>1</v>
      </c>
      <c r="CW4" s="633">
        <v>8</v>
      </c>
      <c r="CX4" s="633"/>
      <c r="CY4" s="633"/>
      <c r="CZ4" s="638"/>
      <c r="DA4" s="632">
        <v>1</v>
      </c>
      <c r="DB4" s="633">
        <v>9</v>
      </c>
      <c r="DC4" s="633"/>
      <c r="DD4" s="633"/>
      <c r="DE4" s="638"/>
      <c r="DF4" s="632">
        <v>2</v>
      </c>
      <c r="DG4" s="633">
        <v>0</v>
      </c>
      <c r="DH4" s="633"/>
      <c r="DI4" s="633"/>
      <c r="DJ4" s="638"/>
      <c r="DK4" s="632">
        <v>2</v>
      </c>
      <c r="DL4" s="633">
        <v>1</v>
      </c>
      <c r="DM4" s="633"/>
      <c r="DN4" s="633"/>
      <c r="DO4" s="638"/>
      <c r="DP4" s="632">
        <v>2</v>
      </c>
      <c r="DQ4" s="633">
        <v>2</v>
      </c>
      <c r="DR4" s="633"/>
      <c r="DS4" s="633"/>
      <c r="DT4" s="638"/>
      <c r="DU4" s="632">
        <v>2</v>
      </c>
      <c r="DV4" s="633">
        <v>3</v>
      </c>
      <c r="DW4" s="633"/>
      <c r="DX4" s="633"/>
      <c r="DY4" s="638"/>
      <c r="DZ4" s="632">
        <v>2</v>
      </c>
      <c r="EA4" s="633">
        <v>4</v>
      </c>
      <c r="EB4" s="633"/>
      <c r="EC4" s="633"/>
      <c r="ED4" s="638"/>
      <c r="EE4" s="632">
        <v>2</v>
      </c>
      <c r="EF4" s="633">
        <v>5</v>
      </c>
      <c r="EG4" s="633"/>
      <c r="EH4" s="633"/>
      <c r="EI4" s="638"/>
      <c r="EJ4" s="632">
        <v>2</v>
      </c>
      <c r="EK4" s="633">
        <v>6</v>
      </c>
      <c r="EL4" s="633"/>
      <c r="EM4" s="633"/>
      <c r="EN4" s="638"/>
      <c r="EO4" s="632">
        <v>2</v>
      </c>
      <c r="EP4" s="633">
        <v>7</v>
      </c>
      <c r="EQ4" s="633"/>
      <c r="ER4" s="633"/>
      <c r="ES4" s="638"/>
      <c r="ET4" s="632">
        <v>2</v>
      </c>
      <c r="EU4" s="633">
        <v>8</v>
      </c>
      <c r="EV4" s="633"/>
      <c r="EW4" s="633"/>
      <c r="EX4" s="638"/>
      <c r="EY4" s="632">
        <v>2</v>
      </c>
      <c r="EZ4" s="633">
        <v>9</v>
      </c>
      <c r="FA4" s="633"/>
      <c r="FB4" s="633"/>
      <c r="FC4" s="638"/>
      <c r="FD4" s="632">
        <v>3</v>
      </c>
      <c r="FE4" s="633">
        <v>0</v>
      </c>
      <c r="FF4" s="633"/>
      <c r="FG4" s="633"/>
      <c r="FH4" s="638"/>
    </row>
    <row r="5" spans="1:164" ht="14.25" thickBot="1">
      <c r="B5" s="640"/>
      <c r="C5" s="641"/>
      <c r="D5" s="641"/>
      <c r="E5" s="641"/>
      <c r="F5" s="642"/>
      <c r="G5" s="643"/>
      <c r="H5" s="644"/>
      <c r="I5" s="643"/>
      <c r="J5" s="645" t="s">
        <v>1353</v>
      </c>
      <c r="K5" s="646">
        <v>2</v>
      </c>
      <c r="L5" s="641">
        <v>4</v>
      </c>
      <c r="M5" s="641">
        <v>6</v>
      </c>
      <c r="N5" s="641">
        <v>8</v>
      </c>
      <c r="O5" s="640">
        <v>0</v>
      </c>
      <c r="P5" s="641">
        <v>2</v>
      </c>
      <c r="Q5" s="641">
        <v>4</v>
      </c>
      <c r="R5" s="641">
        <v>6</v>
      </c>
      <c r="S5" s="647">
        <v>8</v>
      </c>
      <c r="T5" s="640">
        <v>0</v>
      </c>
      <c r="U5" s="641">
        <v>2</v>
      </c>
      <c r="V5" s="641">
        <v>4</v>
      </c>
      <c r="W5" s="641">
        <v>6</v>
      </c>
      <c r="X5" s="647">
        <v>8</v>
      </c>
      <c r="Y5" s="640">
        <v>0</v>
      </c>
      <c r="Z5" s="641">
        <v>2</v>
      </c>
      <c r="AA5" s="641">
        <v>4</v>
      </c>
      <c r="AB5" s="641">
        <v>6</v>
      </c>
      <c r="AC5" s="647">
        <v>8</v>
      </c>
      <c r="AD5" s="640">
        <v>0</v>
      </c>
      <c r="AE5" s="641">
        <v>2</v>
      </c>
      <c r="AF5" s="641">
        <v>4</v>
      </c>
      <c r="AG5" s="641">
        <v>6</v>
      </c>
      <c r="AH5" s="647">
        <v>8</v>
      </c>
      <c r="AI5" s="640">
        <v>0</v>
      </c>
      <c r="AJ5" s="641">
        <v>2</v>
      </c>
      <c r="AK5" s="641">
        <v>4</v>
      </c>
      <c r="AL5" s="641">
        <v>6</v>
      </c>
      <c r="AM5" s="647">
        <v>8</v>
      </c>
      <c r="AN5" s="640">
        <v>0</v>
      </c>
      <c r="AO5" s="641">
        <v>2</v>
      </c>
      <c r="AP5" s="641">
        <v>4</v>
      </c>
      <c r="AQ5" s="641">
        <v>6</v>
      </c>
      <c r="AR5" s="647">
        <v>8</v>
      </c>
      <c r="AS5" s="640">
        <v>0</v>
      </c>
      <c r="AT5" s="641">
        <v>2</v>
      </c>
      <c r="AU5" s="641">
        <v>4</v>
      </c>
      <c r="AV5" s="641">
        <v>6</v>
      </c>
      <c r="AW5" s="647">
        <v>8</v>
      </c>
      <c r="AX5" s="640">
        <v>0</v>
      </c>
      <c r="AY5" s="641">
        <v>2</v>
      </c>
      <c r="AZ5" s="641">
        <v>4</v>
      </c>
      <c r="BA5" s="641">
        <v>6</v>
      </c>
      <c r="BB5" s="647">
        <v>8</v>
      </c>
      <c r="BC5" s="640">
        <v>0</v>
      </c>
      <c r="BD5" s="641">
        <v>2</v>
      </c>
      <c r="BE5" s="641">
        <v>4</v>
      </c>
      <c r="BF5" s="641">
        <v>6</v>
      </c>
      <c r="BG5" s="647">
        <v>8</v>
      </c>
      <c r="BH5" s="640">
        <v>0</v>
      </c>
      <c r="BI5" s="641">
        <v>2</v>
      </c>
      <c r="BJ5" s="641">
        <v>4</v>
      </c>
      <c r="BK5" s="641">
        <v>6</v>
      </c>
      <c r="BL5" s="647">
        <v>8</v>
      </c>
      <c r="BM5" s="640">
        <v>0</v>
      </c>
      <c r="BN5" s="641">
        <v>2</v>
      </c>
      <c r="BO5" s="641">
        <v>4</v>
      </c>
      <c r="BP5" s="641">
        <v>6</v>
      </c>
      <c r="BQ5" s="647">
        <v>8</v>
      </c>
      <c r="BR5" s="640">
        <v>0</v>
      </c>
      <c r="BS5" s="641">
        <v>2</v>
      </c>
      <c r="BT5" s="641">
        <v>4</v>
      </c>
      <c r="BU5" s="641">
        <v>6</v>
      </c>
      <c r="BV5" s="647">
        <v>8</v>
      </c>
      <c r="BW5" s="640">
        <v>0</v>
      </c>
      <c r="BX5" s="641">
        <v>2</v>
      </c>
      <c r="BY5" s="641">
        <v>4</v>
      </c>
      <c r="BZ5" s="641">
        <v>6</v>
      </c>
      <c r="CA5" s="647">
        <v>8</v>
      </c>
      <c r="CB5" s="640">
        <v>0</v>
      </c>
      <c r="CC5" s="641">
        <v>2</v>
      </c>
      <c r="CD5" s="641">
        <v>4</v>
      </c>
      <c r="CE5" s="641">
        <v>6</v>
      </c>
      <c r="CF5" s="647">
        <v>8</v>
      </c>
      <c r="CG5" s="640">
        <v>0</v>
      </c>
      <c r="CH5" s="641">
        <v>2</v>
      </c>
      <c r="CI5" s="641">
        <v>4</v>
      </c>
      <c r="CJ5" s="641">
        <v>6</v>
      </c>
      <c r="CK5" s="647">
        <v>8</v>
      </c>
      <c r="CL5" s="640">
        <v>0</v>
      </c>
      <c r="CM5" s="641">
        <v>2</v>
      </c>
      <c r="CN5" s="641">
        <v>4</v>
      </c>
      <c r="CO5" s="641">
        <v>6</v>
      </c>
      <c r="CP5" s="647">
        <v>8</v>
      </c>
      <c r="CQ5" s="640">
        <v>0</v>
      </c>
      <c r="CR5" s="641">
        <v>2</v>
      </c>
      <c r="CS5" s="641">
        <v>4</v>
      </c>
      <c r="CT5" s="641">
        <v>6</v>
      </c>
      <c r="CU5" s="647">
        <v>8</v>
      </c>
      <c r="CV5" s="640">
        <v>0</v>
      </c>
      <c r="CW5" s="641">
        <v>2</v>
      </c>
      <c r="CX5" s="641">
        <v>4</v>
      </c>
      <c r="CY5" s="641">
        <v>6</v>
      </c>
      <c r="CZ5" s="647">
        <v>8</v>
      </c>
      <c r="DA5" s="640">
        <v>0</v>
      </c>
      <c r="DB5" s="641">
        <v>2</v>
      </c>
      <c r="DC5" s="641">
        <v>4</v>
      </c>
      <c r="DD5" s="641">
        <v>6</v>
      </c>
      <c r="DE5" s="647">
        <v>8</v>
      </c>
      <c r="DF5" s="640">
        <v>0</v>
      </c>
      <c r="DG5" s="641">
        <v>2</v>
      </c>
      <c r="DH5" s="641">
        <v>4</v>
      </c>
      <c r="DI5" s="641">
        <v>6</v>
      </c>
      <c r="DJ5" s="647">
        <v>8</v>
      </c>
      <c r="DK5" s="640">
        <v>0</v>
      </c>
      <c r="DL5" s="641">
        <v>2</v>
      </c>
      <c r="DM5" s="641">
        <v>4</v>
      </c>
      <c r="DN5" s="641">
        <v>6</v>
      </c>
      <c r="DO5" s="647">
        <v>8</v>
      </c>
      <c r="DP5" s="640">
        <v>0</v>
      </c>
      <c r="DQ5" s="641">
        <v>2</v>
      </c>
      <c r="DR5" s="641">
        <v>4</v>
      </c>
      <c r="DS5" s="641">
        <v>6</v>
      </c>
      <c r="DT5" s="647">
        <v>8</v>
      </c>
      <c r="DU5" s="640">
        <v>0</v>
      </c>
      <c r="DV5" s="641">
        <v>2</v>
      </c>
      <c r="DW5" s="641">
        <v>4</v>
      </c>
      <c r="DX5" s="641">
        <v>6</v>
      </c>
      <c r="DY5" s="647">
        <v>8</v>
      </c>
      <c r="DZ5" s="640">
        <v>0</v>
      </c>
      <c r="EA5" s="641">
        <v>2</v>
      </c>
      <c r="EB5" s="641">
        <v>4</v>
      </c>
      <c r="EC5" s="641">
        <v>6</v>
      </c>
      <c r="ED5" s="647">
        <v>8</v>
      </c>
      <c r="EE5" s="640">
        <v>0</v>
      </c>
      <c r="EF5" s="641">
        <v>2</v>
      </c>
      <c r="EG5" s="641">
        <v>4</v>
      </c>
      <c r="EH5" s="641">
        <v>6</v>
      </c>
      <c r="EI5" s="647">
        <v>8</v>
      </c>
      <c r="EJ5" s="640">
        <v>0</v>
      </c>
      <c r="EK5" s="641">
        <v>2</v>
      </c>
      <c r="EL5" s="641">
        <v>4</v>
      </c>
      <c r="EM5" s="641">
        <v>6</v>
      </c>
      <c r="EN5" s="647">
        <v>8</v>
      </c>
      <c r="EO5" s="640">
        <v>0</v>
      </c>
      <c r="EP5" s="641">
        <v>2</v>
      </c>
      <c r="EQ5" s="641">
        <v>4</v>
      </c>
      <c r="ER5" s="641">
        <v>6</v>
      </c>
      <c r="ES5" s="647">
        <v>8</v>
      </c>
      <c r="ET5" s="640">
        <v>0</v>
      </c>
      <c r="EU5" s="641">
        <v>2</v>
      </c>
      <c r="EV5" s="641">
        <v>4</v>
      </c>
      <c r="EW5" s="641">
        <v>6</v>
      </c>
      <c r="EX5" s="647">
        <v>8</v>
      </c>
      <c r="EY5" s="640">
        <v>0</v>
      </c>
      <c r="EZ5" s="641">
        <v>2</v>
      </c>
      <c r="FA5" s="641">
        <v>4</v>
      </c>
      <c r="FB5" s="641">
        <v>6</v>
      </c>
      <c r="FC5" s="647">
        <v>8</v>
      </c>
      <c r="FD5" s="640">
        <v>0</v>
      </c>
      <c r="FE5" s="641">
        <v>2</v>
      </c>
      <c r="FF5" s="641">
        <v>4</v>
      </c>
      <c r="FG5" s="641">
        <v>6</v>
      </c>
      <c r="FH5" s="647">
        <v>8</v>
      </c>
    </row>
    <row r="6" spans="1:164" ht="15" thickTop="1" thickBot="1">
      <c r="B6" s="648" t="s">
        <v>1354</v>
      </c>
      <c r="C6" s="649"/>
      <c r="D6" s="649"/>
      <c r="E6" s="649"/>
      <c r="F6" s="650" t="s">
        <v>1355</v>
      </c>
      <c r="G6" s="650" t="s">
        <v>1356</v>
      </c>
      <c r="H6" s="651" t="s">
        <v>1357</v>
      </c>
      <c r="I6" s="652" t="s">
        <v>1358</v>
      </c>
      <c r="J6" s="653" t="s">
        <v>1359</v>
      </c>
      <c r="K6" s="654"/>
      <c r="L6" s="655"/>
      <c r="M6" s="655"/>
      <c r="N6" s="655"/>
      <c r="O6" s="656"/>
      <c r="P6" s="655"/>
      <c r="Q6" s="655"/>
      <c r="R6" s="655"/>
      <c r="S6" s="657"/>
      <c r="T6" s="656"/>
      <c r="U6" s="655"/>
      <c r="V6" s="655"/>
      <c r="W6" s="655"/>
      <c r="X6" s="657"/>
      <c r="Y6" s="656"/>
      <c r="Z6" s="655"/>
      <c r="AA6" s="655"/>
      <c r="AB6" s="655"/>
      <c r="AC6" s="657"/>
      <c r="AD6" s="656"/>
      <c r="AE6" s="655"/>
      <c r="AF6" s="655"/>
      <c r="AG6" s="655"/>
      <c r="AH6" s="657"/>
      <c r="AI6" s="656"/>
      <c r="AJ6" s="655"/>
      <c r="AK6" s="655"/>
      <c r="AL6" s="655"/>
      <c r="AM6" s="657"/>
      <c r="AN6" s="656"/>
      <c r="AO6" s="655"/>
      <c r="AP6" s="655"/>
      <c r="AQ6" s="655"/>
      <c r="AR6" s="657"/>
      <c r="AS6" s="656"/>
      <c r="AT6" s="655"/>
      <c r="AU6" s="655"/>
      <c r="AV6" s="655"/>
      <c r="AW6" s="657"/>
      <c r="AX6" s="656"/>
      <c r="AY6" s="655"/>
      <c r="AZ6" s="655"/>
      <c r="BA6" s="655"/>
      <c r="BB6" s="657"/>
      <c r="BC6" s="656"/>
      <c r="BD6" s="655"/>
      <c r="BE6" s="655"/>
      <c r="BF6" s="655"/>
      <c r="BG6" s="657"/>
      <c r="BH6" s="656"/>
      <c r="BI6" s="655"/>
      <c r="BJ6" s="655"/>
      <c r="BK6" s="655"/>
      <c r="BL6" s="657"/>
      <c r="BM6" s="656"/>
      <c r="BN6" s="655"/>
      <c r="BO6" s="655"/>
      <c r="BP6" s="655"/>
      <c r="BQ6" s="657"/>
      <c r="BR6" s="656"/>
      <c r="BS6" s="655"/>
      <c r="BT6" s="655"/>
      <c r="BU6" s="655"/>
      <c r="BV6" s="657"/>
      <c r="BW6" s="656"/>
      <c r="BX6" s="655"/>
      <c r="BY6" s="655"/>
      <c r="BZ6" s="655"/>
      <c r="CA6" s="657"/>
      <c r="CB6" s="656"/>
      <c r="CC6" s="655"/>
      <c r="CD6" s="655"/>
      <c r="CE6" s="655"/>
      <c r="CF6" s="657"/>
      <c r="CG6" s="656"/>
      <c r="CH6" s="655"/>
      <c r="CI6" s="655"/>
      <c r="CJ6" s="655"/>
      <c r="CK6" s="657"/>
      <c r="CL6" s="656"/>
      <c r="CM6" s="655"/>
      <c r="CN6" s="655"/>
      <c r="CO6" s="655"/>
      <c r="CP6" s="657"/>
      <c r="CQ6" s="656"/>
      <c r="CR6" s="655"/>
      <c r="CS6" s="655"/>
      <c r="CT6" s="655"/>
      <c r="CU6" s="657"/>
      <c r="CV6" s="656"/>
      <c r="CW6" s="655"/>
      <c r="CX6" s="655"/>
      <c r="CY6" s="655"/>
      <c r="CZ6" s="657"/>
      <c r="DA6" s="656"/>
      <c r="DB6" s="655"/>
      <c r="DC6" s="655"/>
      <c r="DD6" s="655"/>
      <c r="DE6" s="657"/>
      <c r="DF6" s="656"/>
      <c r="DG6" s="655"/>
      <c r="DH6" s="655"/>
      <c r="DI6" s="655"/>
      <c r="DJ6" s="657"/>
      <c r="DK6" s="656"/>
      <c r="DL6" s="655"/>
      <c r="DM6" s="655"/>
      <c r="DN6" s="655"/>
      <c r="DO6" s="657"/>
      <c r="DP6" s="656"/>
      <c r="DQ6" s="655"/>
      <c r="DR6" s="655"/>
      <c r="DS6" s="655"/>
      <c r="DT6" s="657"/>
      <c r="DU6" s="656"/>
      <c r="DV6" s="655"/>
      <c r="DW6" s="655"/>
      <c r="DX6" s="655"/>
      <c r="DY6" s="657"/>
      <c r="DZ6" s="656"/>
      <c r="EA6" s="655"/>
      <c r="EB6" s="655"/>
      <c r="EC6" s="655"/>
      <c r="ED6" s="657"/>
      <c r="EE6" s="656"/>
      <c r="EF6" s="655"/>
      <c r="EG6" s="655"/>
      <c r="EH6" s="655"/>
      <c r="EI6" s="657"/>
      <c r="EJ6" s="656"/>
      <c r="EK6" s="655"/>
      <c r="EL6" s="655"/>
      <c r="EM6" s="655"/>
      <c r="EN6" s="657"/>
      <c r="EO6" s="656"/>
      <c r="EP6" s="655"/>
      <c r="EQ6" s="655"/>
      <c r="ER6" s="655"/>
      <c r="ES6" s="657"/>
      <c r="ET6" s="656"/>
      <c r="EU6" s="655"/>
      <c r="EV6" s="655"/>
      <c r="EW6" s="655"/>
      <c r="EX6" s="657"/>
      <c r="EY6" s="656"/>
      <c r="EZ6" s="655"/>
      <c r="FA6" s="655"/>
      <c r="FB6" s="655"/>
      <c r="FC6" s="657"/>
      <c r="FD6" s="656"/>
      <c r="FE6" s="655"/>
      <c r="FF6" s="655"/>
      <c r="FG6" s="655"/>
      <c r="FH6" s="657"/>
    </row>
    <row r="7" spans="1:164" ht="15" thickTop="1" thickBot="1">
      <c r="B7" s="658" t="s">
        <v>937</v>
      </c>
      <c r="C7" s="659"/>
      <c r="D7" s="659"/>
      <c r="E7" s="659"/>
      <c r="F7" s="660">
        <f>'[1]基本 (1)'!N73</f>
        <v>8.8000000000000007</v>
      </c>
      <c r="G7" s="660">
        <f>ROUND(F7*1.7,1)</f>
        <v>15</v>
      </c>
      <c r="H7" s="661" t="s">
        <v>1360</v>
      </c>
      <c r="I7" s="662">
        <f>ROUND(G7*2/3,1)</f>
        <v>10</v>
      </c>
      <c r="J7" s="663">
        <v>2</v>
      </c>
      <c r="K7" s="664"/>
      <c r="L7" s="299"/>
      <c r="M7" s="299"/>
      <c r="N7" s="299"/>
      <c r="O7" s="665"/>
      <c r="P7" s="299"/>
      <c r="Q7" s="299"/>
      <c r="R7" s="299"/>
      <c r="S7" s="666"/>
      <c r="T7" s="665"/>
      <c r="U7" s="299"/>
      <c r="V7" s="299"/>
      <c r="W7" s="299"/>
      <c r="X7" s="666"/>
      <c r="Y7" s="665"/>
      <c r="Z7" s="299"/>
      <c r="AA7" s="299"/>
      <c r="AB7" s="299"/>
      <c r="AC7" s="666"/>
      <c r="AD7" s="665"/>
      <c r="AE7" s="299"/>
      <c r="AF7" s="299"/>
      <c r="AG7" s="299"/>
      <c r="AH7" s="666"/>
      <c r="AI7" s="665"/>
      <c r="AJ7" s="299"/>
      <c r="AK7" s="299"/>
      <c r="AL7" s="299"/>
      <c r="AM7" s="666"/>
      <c r="AN7" s="665"/>
      <c r="AO7" s="299"/>
      <c r="AP7" s="299"/>
      <c r="AQ7" s="299"/>
      <c r="AR7" s="666"/>
      <c r="AS7" s="665"/>
      <c r="AT7" s="667"/>
      <c r="AU7" s="667"/>
      <c r="AV7" s="667"/>
      <c r="AW7" s="668"/>
      <c r="AX7" s="669"/>
      <c r="AY7" s="299"/>
      <c r="AZ7" s="299"/>
      <c r="BA7" s="299"/>
      <c r="BB7" s="666"/>
      <c r="BC7" s="665"/>
      <c r="BD7" s="299"/>
      <c r="BE7" s="299"/>
      <c r="BF7" s="299"/>
      <c r="BG7" s="666"/>
      <c r="BH7" s="665"/>
      <c r="BI7" s="299"/>
      <c r="BJ7" s="299"/>
      <c r="BK7" s="299"/>
      <c r="BL7" s="666"/>
      <c r="BM7" s="665"/>
      <c r="BN7" s="299"/>
      <c r="BO7" s="299"/>
      <c r="BP7" s="299"/>
      <c r="BQ7" s="666"/>
      <c r="BR7" s="665"/>
      <c r="BS7" s="299"/>
      <c r="BT7" s="299"/>
      <c r="BU7" s="299"/>
      <c r="BV7" s="666"/>
      <c r="BW7" s="665"/>
      <c r="BX7" s="299"/>
      <c r="BY7" s="299"/>
      <c r="BZ7" s="299"/>
      <c r="CA7" s="666"/>
      <c r="CB7" s="665"/>
      <c r="CC7" s="299"/>
      <c r="CD7" s="299"/>
      <c r="CE7" s="299"/>
      <c r="CF7" s="666"/>
      <c r="CG7" s="665"/>
      <c r="CH7" s="299"/>
      <c r="CI7" s="299"/>
      <c r="CJ7" s="299"/>
      <c r="CK7" s="666"/>
      <c r="CL7" s="665"/>
      <c r="CM7" s="299"/>
      <c r="CN7" s="299"/>
      <c r="CO7" s="299"/>
      <c r="CP7" s="666"/>
      <c r="CQ7" s="665"/>
      <c r="CR7" s="299"/>
      <c r="CS7" s="299"/>
      <c r="CT7" s="299"/>
      <c r="CU7" s="666"/>
      <c r="CV7" s="665"/>
      <c r="CW7" s="299"/>
      <c r="CX7" s="299"/>
      <c r="CY7" s="299"/>
      <c r="CZ7" s="666"/>
      <c r="DA7" s="665"/>
      <c r="DB7" s="299"/>
      <c r="DC7" s="299"/>
      <c r="DD7" s="299"/>
      <c r="DE7" s="666"/>
      <c r="DF7" s="665"/>
      <c r="DG7" s="299"/>
      <c r="DH7" s="299"/>
      <c r="DI7" s="299"/>
      <c r="DJ7" s="666"/>
      <c r="DK7" s="665"/>
      <c r="DL7" s="299"/>
      <c r="DM7" s="299"/>
      <c r="DN7" s="299"/>
      <c r="DO7" s="666"/>
      <c r="DP7" s="665"/>
      <c r="DQ7" s="299"/>
      <c r="DR7" s="299"/>
      <c r="DS7" s="299"/>
      <c r="DT7" s="666"/>
      <c r="DU7" s="665"/>
      <c r="DV7" s="299"/>
      <c r="DW7" s="299"/>
      <c r="DX7" s="299"/>
      <c r="DY7" s="666"/>
      <c r="DZ7" s="665"/>
      <c r="EA7" s="299"/>
      <c r="EB7" s="299"/>
      <c r="EC7" s="299"/>
      <c r="ED7" s="666"/>
      <c r="EE7" s="665"/>
      <c r="EF7" s="299"/>
      <c r="EG7" s="299"/>
      <c r="EH7" s="299"/>
      <c r="EI7" s="666"/>
      <c r="EJ7" s="669"/>
      <c r="EK7" s="667"/>
      <c r="EL7" s="299"/>
      <c r="EM7" s="299"/>
      <c r="EN7" s="666"/>
      <c r="EO7" s="665"/>
      <c r="EP7" s="299"/>
      <c r="EQ7" s="299"/>
      <c r="ER7" s="299"/>
      <c r="ES7" s="666"/>
      <c r="ET7" s="665"/>
      <c r="EU7" s="299"/>
      <c r="EV7" s="299"/>
      <c r="EW7" s="299"/>
      <c r="EX7" s="666"/>
      <c r="EY7" s="665"/>
      <c r="EZ7" s="299"/>
      <c r="FA7" s="299"/>
      <c r="FB7" s="299"/>
      <c r="FC7" s="666"/>
      <c r="FD7" s="665"/>
      <c r="FE7" s="299"/>
      <c r="FF7" s="299"/>
      <c r="FG7" s="299"/>
      <c r="FH7" s="666"/>
    </row>
    <row r="8" spans="1:164">
      <c r="B8" s="670"/>
      <c r="C8" s="671"/>
      <c r="D8" s="671"/>
      <c r="E8" s="671"/>
      <c r="F8" s="672"/>
      <c r="G8" s="672"/>
      <c r="H8" s="673" t="s">
        <v>1361</v>
      </c>
      <c r="I8" s="674">
        <f>ROUND(G7*1/3,1)</f>
        <v>5</v>
      </c>
      <c r="J8" s="675">
        <v>28</v>
      </c>
      <c r="K8" s="676"/>
      <c r="L8" s="677"/>
      <c r="M8" s="677"/>
      <c r="N8" s="677"/>
      <c r="O8" s="678"/>
      <c r="P8" s="677"/>
      <c r="Q8" s="677"/>
      <c r="R8" s="677"/>
      <c r="S8" s="679"/>
      <c r="T8" s="678"/>
      <c r="U8" s="677"/>
      <c r="V8" s="677"/>
      <c r="W8" s="677"/>
      <c r="X8" s="679"/>
      <c r="Y8" s="678"/>
      <c r="Z8" s="677"/>
      <c r="AA8" s="677"/>
      <c r="AB8" s="677"/>
      <c r="AC8" s="679"/>
      <c r="AD8" s="678"/>
      <c r="AE8" s="677"/>
      <c r="AF8" s="677"/>
      <c r="AG8" s="677"/>
      <c r="AH8" s="679"/>
      <c r="AI8" s="678"/>
      <c r="AJ8" s="677"/>
      <c r="AK8" s="677"/>
      <c r="AL8" s="677"/>
      <c r="AM8" s="679"/>
      <c r="AN8" s="678"/>
      <c r="AO8" s="677"/>
      <c r="AP8" s="677"/>
      <c r="AQ8" s="677"/>
      <c r="AR8" s="679"/>
      <c r="AS8" s="678"/>
      <c r="AT8" s="677"/>
      <c r="AU8" s="677"/>
      <c r="AV8" s="677"/>
      <c r="AW8" s="679"/>
      <c r="AX8" s="678"/>
      <c r="AY8" s="677"/>
      <c r="AZ8" s="677"/>
      <c r="BA8" s="677"/>
      <c r="BB8" s="679"/>
      <c r="BC8" s="678"/>
      <c r="BD8" s="677"/>
      <c r="BE8" s="677"/>
      <c r="BF8" s="677"/>
      <c r="BG8" s="679"/>
      <c r="BH8" s="678"/>
      <c r="BI8" s="677"/>
      <c r="BJ8" s="677"/>
      <c r="BK8" s="677"/>
      <c r="BL8" s="679"/>
      <c r="BM8" s="678"/>
      <c r="BN8" s="677"/>
      <c r="BO8" s="677"/>
      <c r="BP8" s="677"/>
      <c r="BQ8" s="679"/>
      <c r="BR8" s="678"/>
      <c r="BS8" s="677"/>
      <c r="BT8" s="677"/>
      <c r="BU8" s="677"/>
      <c r="BV8" s="679"/>
      <c r="BW8" s="678"/>
      <c r="BX8" s="677"/>
      <c r="BY8" s="677"/>
      <c r="BZ8" s="677"/>
      <c r="CA8" s="679"/>
      <c r="CB8" s="678"/>
      <c r="CC8" s="677"/>
      <c r="CD8" s="677"/>
      <c r="CE8" s="677"/>
      <c r="CF8" s="679"/>
      <c r="CG8" s="678"/>
      <c r="CH8" s="677"/>
      <c r="CI8" s="677"/>
      <c r="CJ8" s="677"/>
      <c r="CK8" s="679"/>
      <c r="CL8" s="678"/>
      <c r="CM8" s="677"/>
      <c r="CN8" s="677"/>
      <c r="CO8" s="677"/>
      <c r="CP8" s="679"/>
      <c r="CQ8" s="678"/>
      <c r="CR8" s="677"/>
      <c r="CS8" s="677"/>
      <c r="CT8" s="677"/>
      <c r="CU8" s="679"/>
      <c r="CV8" s="678"/>
      <c r="CW8" s="677"/>
      <c r="CX8" s="677"/>
      <c r="CY8" s="677"/>
      <c r="CZ8" s="679"/>
      <c r="DA8" s="678"/>
      <c r="DB8" s="677"/>
      <c r="DC8" s="677"/>
      <c r="DD8" s="677"/>
      <c r="DE8" s="679"/>
      <c r="DF8" s="678"/>
      <c r="DG8" s="677"/>
      <c r="DH8" s="677"/>
      <c r="DI8" s="677"/>
      <c r="DJ8" s="679"/>
      <c r="DK8" s="678"/>
      <c r="DL8" s="677"/>
      <c r="DM8" s="677"/>
      <c r="DN8" s="677"/>
      <c r="DO8" s="679"/>
      <c r="DP8" s="678"/>
      <c r="DQ8" s="677"/>
      <c r="DR8" s="677"/>
      <c r="DS8" s="677"/>
      <c r="DT8" s="679"/>
      <c r="DU8" s="678"/>
      <c r="DV8" s="677"/>
      <c r="DW8" s="677"/>
      <c r="DX8" s="677"/>
      <c r="DY8" s="679"/>
      <c r="DZ8" s="678"/>
      <c r="EA8" s="677"/>
      <c r="EB8" s="677"/>
      <c r="EC8" s="677"/>
      <c r="ED8" s="679"/>
      <c r="EE8" s="678"/>
      <c r="EF8" s="677"/>
      <c r="EG8" s="677"/>
      <c r="EH8" s="677"/>
      <c r="EI8" s="679"/>
      <c r="EJ8" s="678"/>
      <c r="EK8" s="677"/>
      <c r="EL8" s="677"/>
      <c r="EM8" s="677"/>
      <c r="EN8" s="679"/>
      <c r="EO8" s="678"/>
      <c r="EP8" s="677"/>
      <c r="EQ8" s="677"/>
      <c r="ER8" s="677"/>
      <c r="ES8" s="679"/>
      <c r="ET8" s="678"/>
      <c r="EU8" s="677"/>
      <c r="EV8" s="677"/>
      <c r="EW8" s="677"/>
      <c r="EX8" s="679"/>
      <c r="EY8" s="678"/>
      <c r="EZ8" s="677"/>
      <c r="FA8" s="677"/>
      <c r="FB8" s="677"/>
      <c r="FC8" s="679"/>
      <c r="FD8" s="678"/>
      <c r="FE8" s="677"/>
      <c r="FF8" s="677"/>
      <c r="FG8" s="677"/>
      <c r="FH8" s="679"/>
    </row>
    <row r="9" spans="1:164" hidden="1">
      <c r="B9" s="680" t="s">
        <v>940</v>
      </c>
      <c r="C9" s="680"/>
      <c r="D9" s="680"/>
      <c r="E9" s="681"/>
      <c r="F9" s="682">
        <f>'[1]基本 (1)'!N74</f>
        <v>0</v>
      </c>
      <c r="G9" s="682">
        <f>ROUND(F9*1.7,1)</f>
        <v>0</v>
      </c>
      <c r="H9" s="661" t="s">
        <v>1360</v>
      </c>
      <c r="I9" s="662">
        <f>ROUND(G9*2/3,1)</f>
        <v>0</v>
      </c>
      <c r="J9" s="663"/>
      <c r="K9" s="664"/>
      <c r="L9" s="299"/>
      <c r="M9" s="299"/>
      <c r="N9" s="299"/>
      <c r="O9" s="665"/>
      <c r="P9" s="299"/>
      <c r="Q9" s="299"/>
      <c r="R9" s="299"/>
      <c r="S9" s="666"/>
      <c r="T9" s="665"/>
      <c r="U9" s="299"/>
      <c r="V9" s="299"/>
      <c r="W9" s="299"/>
      <c r="X9" s="666"/>
      <c r="Y9" s="665"/>
      <c r="Z9" s="299"/>
      <c r="AA9" s="299"/>
      <c r="AB9" s="299"/>
      <c r="AC9" s="666"/>
      <c r="AD9" s="665"/>
      <c r="AE9" s="299"/>
      <c r="AF9" s="299"/>
      <c r="AG9" s="299"/>
      <c r="AH9" s="666"/>
      <c r="AI9" s="665"/>
      <c r="AJ9" s="299"/>
      <c r="AK9" s="299"/>
      <c r="AL9" s="299"/>
      <c r="AM9" s="666"/>
      <c r="AN9" s="665"/>
      <c r="AO9" s="299"/>
      <c r="AP9" s="299"/>
      <c r="AQ9" s="299"/>
      <c r="AR9" s="666"/>
      <c r="AS9" s="665"/>
      <c r="AT9" s="299"/>
      <c r="AU9" s="299"/>
      <c r="AV9" s="299"/>
      <c r="AW9" s="666"/>
      <c r="AX9" s="665"/>
      <c r="AY9" s="299"/>
      <c r="AZ9" s="299"/>
      <c r="BA9" s="299"/>
      <c r="BB9" s="666"/>
      <c r="BC9" s="665"/>
      <c r="BD9" s="299"/>
      <c r="BE9" s="299"/>
      <c r="BF9" s="299"/>
      <c r="BG9" s="666"/>
      <c r="BH9" s="665"/>
      <c r="BI9" s="299"/>
      <c r="BJ9" s="299"/>
      <c r="BK9" s="299"/>
      <c r="BL9" s="666"/>
      <c r="BM9" s="665"/>
      <c r="BN9" s="299"/>
      <c r="BO9" s="299"/>
      <c r="BP9" s="299"/>
      <c r="BQ9" s="666"/>
      <c r="BR9" s="665"/>
      <c r="BS9" s="299"/>
      <c r="BT9" s="299"/>
      <c r="BU9" s="299"/>
      <c r="BV9" s="666"/>
      <c r="BW9" s="665"/>
      <c r="BX9" s="299"/>
      <c r="BY9" s="299"/>
      <c r="BZ9" s="299"/>
      <c r="CA9" s="666"/>
      <c r="CB9" s="665"/>
      <c r="CC9" s="299"/>
      <c r="CD9" s="299"/>
      <c r="CE9" s="299"/>
      <c r="CF9" s="666"/>
      <c r="CG9" s="665"/>
      <c r="CH9" s="299"/>
      <c r="CI9" s="299"/>
      <c r="CJ9" s="299"/>
      <c r="CK9" s="666"/>
      <c r="CL9" s="665"/>
      <c r="CM9" s="299"/>
      <c r="CN9" s="299"/>
      <c r="CO9" s="299"/>
      <c r="CP9" s="666"/>
      <c r="CQ9" s="665"/>
      <c r="CR9" s="299"/>
      <c r="CS9" s="299"/>
      <c r="CT9" s="299"/>
      <c r="CU9" s="666"/>
      <c r="CV9" s="665"/>
      <c r="CW9" s="299"/>
      <c r="CX9" s="299"/>
      <c r="CY9" s="299"/>
      <c r="CZ9" s="666"/>
      <c r="DA9" s="665"/>
      <c r="DB9" s="299"/>
      <c r="DC9" s="299"/>
      <c r="DD9" s="299"/>
      <c r="DE9" s="666"/>
      <c r="DF9" s="665"/>
      <c r="DG9" s="299"/>
      <c r="DH9" s="299"/>
      <c r="DI9" s="299"/>
      <c r="DJ9" s="666"/>
      <c r="DK9" s="665"/>
      <c r="DL9" s="299"/>
      <c r="DM9" s="299"/>
      <c r="DN9" s="299"/>
      <c r="DO9" s="666"/>
      <c r="DP9" s="665"/>
      <c r="DQ9" s="299"/>
      <c r="DR9" s="299"/>
      <c r="DS9" s="299"/>
      <c r="DT9" s="666"/>
      <c r="DU9" s="665"/>
      <c r="DV9" s="299"/>
      <c r="DW9" s="299"/>
      <c r="DX9" s="299"/>
      <c r="DY9" s="666"/>
      <c r="DZ9" s="665"/>
      <c r="EA9" s="299"/>
      <c r="EB9" s="299"/>
      <c r="EC9" s="299"/>
      <c r="ED9" s="666"/>
      <c r="EE9" s="665"/>
      <c r="EF9" s="299"/>
      <c r="EG9" s="299"/>
      <c r="EH9" s="299"/>
      <c r="EI9" s="666"/>
      <c r="EJ9" s="665"/>
      <c r="EK9" s="299"/>
      <c r="EL9" s="299"/>
      <c r="EM9" s="299"/>
      <c r="EN9" s="666"/>
      <c r="EO9" s="665"/>
      <c r="EP9" s="299"/>
      <c r="EQ9" s="299"/>
      <c r="ER9" s="299"/>
      <c r="ES9" s="666"/>
      <c r="ET9" s="665"/>
      <c r="EU9" s="299"/>
      <c r="EV9" s="299"/>
      <c r="EW9" s="299"/>
      <c r="EX9" s="666"/>
      <c r="EY9" s="665"/>
      <c r="EZ9" s="299"/>
      <c r="FA9" s="299"/>
      <c r="FB9" s="299"/>
      <c r="FC9" s="666"/>
      <c r="FD9" s="665"/>
      <c r="FE9" s="299"/>
      <c r="FF9" s="299"/>
      <c r="FG9" s="299"/>
      <c r="FH9" s="666"/>
    </row>
    <row r="10" spans="1:164" hidden="1">
      <c r="B10" s="670"/>
      <c r="C10" s="671"/>
      <c r="D10" s="671"/>
      <c r="E10" s="671"/>
      <c r="F10" s="672"/>
      <c r="G10" s="672"/>
      <c r="H10" s="673" t="s">
        <v>1361</v>
      </c>
      <c r="I10" s="674">
        <f>ROUND(G9*1/3,1)</f>
        <v>0</v>
      </c>
      <c r="J10" s="663"/>
      <c r="K10" s="664"/>
      <c r="L10" s="299"/>
      <c r="M10" s="299"/>
      <c r="N10" s="299"/>
      <c r="O10" s="665"/>
      <c r="P10" s="299"/>
      <c r="Q10" s="299"/>
      <c r="R10" s="299"/>
      <c r="S10" s="666"/>
      <c r="T10" s="665"/>
      <c r="U10" s="299"/>
      <c r="V10" s="299"/>
      <c r="W10" s="299"/>
      <c r="X10" s="666"/>
      <c r="Y10" s="665"/>
      <c r="Z10" s="299"/>
      <c r="AA10" s="299"/>
      <c r="AB10" s="299"/>
      <c r="AC10" s="666"/>
      <c r="AD10" s="665"/>
      <c r="AE10" s="299"/>
      <c r="AF10" s="299"/>
      <c r="AG10" s="299"/>
      <c r="AH10" s="666"/>
      <c r="AI10" s="665"/>
      <c r="AJ10" s="299"/>
      <c r="AK10" s="299"/>
      <c r="AL10" s="299"/>
      <c r="AM10" s="666"/>
      <c r="AN10" s="665"/>
      <c r="AO10" s="299"/>
      <c r="AP10" s="299"/>
      <c r="AQ10" s="299"/>
      <c r="AR10" s="666"/>
      <c r="AS10" s="665"/>
      <c r="AT10" s="299"/>
      <c r="AU10" s="299"/>
      <c r="AV10" s="299"/>
      <c r="AW10" s="666"/>
      <c r="AX10" s="665"/>
      <c r="AY10" s="299"/>
      <c r="AZ10" s="299"/>
      <c r="BA10" s="299"/>
      <c r="BB10" s="666"/>
      <c r="BC10" s="665"/>
      <c r="BD10" s="299"/>
      <c r="BE10" s="299"/>
      <c r="BF10" s="299"/>
      <c r="BG10" s="666"/>
      <c r="BH10" s="665"/>
      <c r="BI10" s="299"/>
      <c r="BJ10" s="299"/>
      <c r="BK10" s="299"/>
      <c r="BL10" s="666"/>
      <c r="BM10" s="665"/>
      <c r="BN10" s="299"/>
      <c r="BO10" s="299"/>
      <c r="BP10" s="299"/>
      <c r="BQ10" s="666"/>
      <c r="BR10" s="665"/>
      <c r="BS10" s="299"/>
      <c r="BT10" s="299"/>
      <c r="BU10" s="299"/>
      <c r="BV10" s="666"/>
      <c r="BW10" s="665"/>
      <c r="BX10" s="299"/>
      <c r="BY10" s="299"/>
      <c r="BZ10" s="299"/>
      <c r="CA10" s="666"/>
      <c r="CB10" s="665"/>
      <c r="CC10" s="299"/>
      <c r="CD10" s="299"/>
      <c r="CE10" s="299"/>
      <c r="CF10" s="666"/>
      <c r="CG10" s="665"/>
      <c r="CH10" s="299"/>
      <c r="CI10" s="299"/>
      <c r="CJ10" s="299"/>
      <c r="CK10" s="666"/>
      <c r="CL10" s="665"/>
      <c r="CM10" s="299"/>
      <c r="CN10" s="299"/>
      <c r="CO10" s="299"/>
      <c r="CP10" s="666"/>
      <c r="CQ10" s="665"/>
      <c r="CR10" s="299"/>
      <c r="CS10" s="299"/>
      <c r="CT10" s="299"/>
      <c r="CU10" s="666"/>
      <c r="CV10" s="665"/>
      <c r="CW10" s="299"/>
      <c r="CX10" s="299"/>
      <c r="CY10" s="299"/>
      <c r="CZ10" s="666"/>
      <c r="DA10" s="665"/>
      <c r="DB10" s="299"/>
      <c r="DC10" s="299"/>
      <c r="DD10" s="299"/>
      <c r="DE10" s="666"/>
      <c r="DF10" s="665"/>
      <c r="DG10" s="299"/>
      <c r="DH10" s="299"/>
      <c r="DI10" s="299"/>
      <c r="DJ10" s="666"/>
      <c r="DK10" s="665"/>
      <c r="DL10" s="299"/>
      <c r="DM10" s="299"/>
      <c r="DN10" s="299"/>
      <c r="DO10" s="666"/>
      <c r="DP10" s="665"/>
      <c r="DQ10" s="299"/>
      <c r="DR10" s="299"/>
      <c r="DS10" s="299"/>
      <c r="DT10" s="666"/>
      <c r="DU10" s="665"/>
      <c r="DV10" s="299"/>
      <c r="DW10" s="299"/>
      <c r="DX10" s="299"/>
      <c r="DY10" s="666"/>
      <c r="DZ10" s="665"/>
      <c r="EA10" s="299"/>
      <c r="EB10" s="299"/>
      <c r="EC10" s="299"/>
      <c r="ED10" s="666"/>
      <c r="EE10" s="665"/>
      <c r="EF10" s="299"/>
      <c r="EG10" s="299"/>
      <c r="EH10" s="299"/>
      <c r="EI10" s="666"/>
      <c r="EJ10" s="665"/>
      <c r="EK10" s="299"/>
      <c r="EL10" s="299"/>
      <c r="EM10" s="299"/>
      <c r="EN10" s="666"/>
      <c r="EO10" s="665"/>
      <c r="EP10" s="299"/>
      <c r="EQ10" s="299"/>
      <c r="ER10" s="299"/>
      <c r="ES10" s="666"/>
      <c r="ET10" s="665"/>
      <c r="EU10" s="299"/>
      <c r="EV10" s="299"/>
      <c r="EW10" s="299"/>
      <c r="EX10" s="666"/>
      <c r="EY10" s="665"/>
      <c r="EZ10" s="299"/>
      <c r="FA10" s="299"/>
      <c r="FB10" s="299"/>
      <c r="FC10" s="666"/>
      <c r="FD10" s="665"/>
      <c r="FE10" s="299"/>
      <c r="FF10" s="299"/>
      <c r="FG10" s="299"/>
      <c r="FH10" s="666"/>
    </row>
    <row r="11" spans="1:164" hidden="1">
      <c r="B11" s="683" t="s">
        <v>942</v>
      </c>
      <c r="C11" s="683"/>
      <c r="D11" s="683"/>
      <c r="E11" s="658"/>
      <c r="F11" s="660">
        <f>'[1]基本 (1)'!N75</f>
        <v>0</v>
      </c>
      <c r="G11" s="660">
        <f>ROUND(F11*1.7,1)</f>
        <v>0</v>
      </c>
      <c r="H11" s="684" t="s">
        <v>1360</v>
      </c>
      <c r="I11" s="685">
        <f>ROUND(G11*2/3,1)</f>
        <v>0</v>
      </c>
      <c r="J11" s="686"/>
      <c r="K11" s="687"/>
      <c r="L11" s="688"/>
      <c r="M11" s="688"/>
      <c r="N11" s="688"/>
      <c r="O11" s="689"/>
      <c r="P11" s="688"/>
      <c r="Q11" s="688"/>
      <c r="R11" s="688"/>
      <c r="S11" s="690"/>
      <c r="T11" s="689"/>
      <c r="U11" s="688"/>
      <c r="V11" s="688"/>
      <c r="W11" s="688"/>
      <c r="X11" s="690"/>
      <c r="Y11" s="689"/>
      <c r="Z11" s="688"/>
      <c r="AA11" s="688"/>
      <c r="AB11" s="688"/>
      <c r="AC11" s="690"/>
      <c r="AD11" s="689"/>
      <c r="AE11" s="688"/>
      <c r="AF11" s="688"/>
      <c r="AG11" s="688"/>
      <c r="AH11" s="690"/>
      <c r="AI11" s="689"/>
      <c r="AJ11" s="688"/>
      <c r="AK11" s="688"/>
      <c r="AL11" s="688"/>
      <c r="AM11" s="690"/>
      <c r="AN11" s="689"/>
      <c r="AO11" s="688"/>
      <c r="AP11" s="688"/>
      <c r="AQ11" s="688"/>
      <c r="AR11" s="690"/>
      <c r="AS11" s="689"/>
      <c r="AT11" s="688"/>
      <c r="AU11" s="688"/>
      <c r="AV11" s="688"/>
      <c r="AW11" s="690"/>
      <c r="AX11" s="689"/>
      <c r="AY11" s="688"/>
      <c r="AZ11" s="688"/>
      <c r="BA11" s="688"/>
      <c r="BB11" s="690"/>
      <c r="BC11" s="689"/>
      <c r="BD11" s="688"/>
      <c r="BE11" s="688"/>
      <c r="BF11" s="688"/>
      <c r="BG11" s="690"/>
      <c r="BH11" s="689"/>
      <c r="BI11" s="688"/>
      <c r="BJ11" s="688"/>
      <c r="BK11" s="688"/>
      <c r="BL11" s="690"/>
      <c r="BM11" s="689"/>
      <c r="BN11" s="688"/>
      <c r="BO11" s="688"/>
      <c r="BP11" s="688"/>
      <c r="BQ11" s="690"/>
      <c r="BR11" s="689"/>
      <c r="BS11" s="688"/>
      <c r="BT11" s="688"/>
      <c r="BU11" s="688"/>
      <c r="BV11" s="690"/>
      <c r="BW11" s="689"/>
      <c r="BX11" s="688"/>
      <c r="BY11" s="688"/>
      <c r="BZ11" s="688"/>
      <c r="CA11" s="690"/>
      <c r="CB11" s="689"/>
      <c r="CC11" s="688"/>
      <c r="CD11" s="688"/>
      <c r="CE11" s="688"/>
      <c r="CF11" s="690"/>
      <c r="CG11" s="689"/>
      <c r="CH11" s="688"/>
      <c r="CI11" s="688"/>
      <c r="CJ11" s="688"/>
      <c r="CK11" s="690"/>
      <c r="CL11" s="689"/>
      <c r="CM11" s="688"/>
      <c r="CN11" s="688"/>
      <c r="CO11" s="688"/>
      <c r="CP11" s="690"/>
      <c r="CQ11" s="689"/>
      <c r="CR11" s="688"/>
      <c r="CS11" s="688"/>
      <c r="CT11" s="688"/>
      <c r="CU11" s="690"/>
      <c r="CV11" s="689"/>
      <c r="CW11" s="688"/>
      <c r="CX11" s="688"/>
      <c r="CY11" s="688"/>
      <c r="CZ11" s="690"/>
      <c r="DA11" s="689"/>
      <c r="DB11" s="688"/>
      <c r="DC11" s="688"/>
      <c r="DD11" s="688"/>
      <c r="DE11" s="690"/>
      <c r="DF11" s="689"/>
      <c r="DG11" s="688"/>
      <c r="DH11" s="688"/>
      <c r="DI11" s="688"/>
      <c r="DJ11" s="690"/>
      <c r="DK11" s="689"/>
      <c r="DL11" s="688"/>
      <c r="DM11" s="688"/>
      <c r="DN11" s="688"/>
      <c r="DO11" s="690"/>
      <c r="DP11" s="689"/>
      <c r="DQ11" s="688"/>
      <c r="DR11" s="688"/>
      <c r="DS11" s="688"/>
      <c r="DT11" s="690"/>
      <c r="DU11" s="689"/>
      <c r="DV11" s="688"/>
      <c r="DW11" s="688"/>
      <c r="DX11" s="688"/>
      <c r="DY11" s="690"/>
      <c r="DZ11" s="689"/>
      <c r="EA11" s="688"/>
      <c r="EB11" s="688"/>
      <c r="EC11" s="688"/>
      <c r="ED11" s="690"/>
      <c r="EE11" s="689"/>
      <c r="EF11" s="688"/>
      <c r="EG11" s="688"/>
      <c r="EH11" s="688"/>
      <c r="EI11" s="690"/>
      <c r="EJ11" s="689"/>
      <c r="EK11" s="688"/>
      <c r="EL11" s="688"/>
      <c r="EM11" s="688"/>
      <c r="EN11" s="690"/>
      <c r="EO11" s="689"/>
      <c r="EP11" s="688"/>
      <c r="EQ11" s="688"/>
      <c r="ER11" s="688"/>
      <c r="ES11" s="690"/>
      <c r="ET11" s="689"/>
      <c r="EU11" s="688"/>
      <c r="EV11" s="688"/>
      <c r="EW11" s="688"/>
      <c r="EX11" s="690"/>
      <c r="EY11" s="689"/>
      <c r="EZ11" s="688"/>
      <c r="FA11" s="688"/>
      <c r="FB11" s="688"/>
      <c r="FC11" s="690"/>
      <c r="FD11" s="689"/>
      <c r="FE11" s="688"/>
      <c r="FF11" s="688"/>
      <c r="FG11" s="688"/>
      <c r="FH11" s="690"/>
    </row>
    <row r="12" spans="1:164" hidden="1">
      <c r="B12" s="670"/>
      <c r="C12" s="671"/>
      <c r="D12" s="671"/>
      <c r="E12" s="671"/>
      <c r="F12" s="672"/>
      <c r="G12" s="672"/>
      <c r="H12" s="673" t="s">
        <v>1361</v>
      </c>
      <c r="I12" s="674">
        <f>ROUND(G11*1/3,1)</f>
        <v>0</v>
      </c>
      <c r="J12" s="675"/>
      <c r="K12" s="676"/>
      <c r="L12" s="677"/>
      <c r="M12" s="677"/>
      <c r="N12" s="677"/>
      <c r="O12" s="678"/>
      <c r="P12" s="677"/>
      <c r="Q12" s="677"/>
      <c r="R12" s="677"/>
      <c r="S12" s="679"/>
      <c r="T12" s="678"/>
      <c r="U12" s="677"/>
      <c r="V12" s="677"/>
      <c r="W12" s="677"/>
      <c r="X12" s="679"/>
      <c r="Y12" s="678"/>
      <c r="Z12" s="677"/>
      <c r="AA12" s="677"/>
      <c r="AB12" s="677"/>
      <c r="AC12" s="679"/>
      <c r="AD12" s="678"/>
      <c r="AE12" s="677"/>
      <c r="AF12" s="677"/>
      <c r="AG12" s="677"/>
      <c r="AH12" s="679"/>
      <c r="AI12" s="678"/>
      <c r="AJ12" s="677"/>
      <c r="AK12" s="677"/>
      <c r="AL12" s="677"/>
      <c r="AM12" s="679"/>
      <c r="AN12" s="678"/>
      <c r="AO12" s="677"/>
      <c r="AP12" s="677"/>
      <c r="AQ12" s="677"/>
      <c r="AR12" s="679"/>
      <c r="AS12" s="678"/>
      <c r="AT12" s="677"/>
      <c r="AU12" s="677"/>
      <c r="AV12" s="677"/>
      <c r="AW12" s="679"/>
      <c r="AX12" s="678"/>
      <c r="AY12" s="677"/>
      <c r="AZ12" s="677"/>
      <c r="BA12" s="677"/>
      <c r="BB12" s="679"/>
      <c r="BC12" s="678"/>
      <c r="BD12" s="677"/>
      <c r="BE12" s="677"/>
      <c r="BF12" s="677"/>
      <c r="BG12" s="679"/>
      <c r="BH12" s="678"/>
      <c r="BI12" s="677"/>
      <c r="BJ12" s="677"/>
      <c r="BK12" s="677"/>
      <c r="BL12" s="679"/>
      <c r="BM12" s="678"/>
      <c r="BN12" s="677"/>
      <c r="BO12" s="677"/>
      <c r="BP12" s="677"/>
      <c r="BQ12" s="679"/>
      <c r="BR12" s="678"/>
      <c r="BS12" s="677"/>
      <c r="BT12" s="677"/>
      <c r="BU12" s="677"/>
      <c r="BV12" s="679"/>
      <c r="BW12" s="678"/>
      <c r="BX12" s="677"/>
      <c r="BY12" s="677"/>
      <c r="BZ12" s="677"/>
      <c r="CA12" s="679"/>
      <c r="CB12" s="678"/>
      <c r="CC12" s="677"/>
      <c r="CD12" s="677"/>
      <c r="CE12" s="677"/>
      <c r="CF12" s="679"/>
      <c r="CG12" s="678"/>
      <c r="CH12" s="677"/>
      <c r="CI12" s="677"/>
      <c r="CJ12" s="677"/>
      <c r="CK12" s="679"/>
      <c r="CL12" s="678"/>
      <c r="CM12" s="677"/>
      <c r="CN12" s="677"/>
      <c r="CO12" s="677"/>
      <c r="CP12" s="679"/>
      <c r="CQ12" s="678"/>
      <c r="CR12" s="677"/>
      <c r="CS12" s="677"/>
      <c r="CT12" s="677"/>
      <c r="CU12" s="679"/>
      <c r="CV12" s="678"/>
      <c r="CW12" s="677"/>
      <c r="CX12" s="677"/>
      <c r="CY12" s="677"/>
      <c r="CZ12" s="679"/>
      <c r="DA12" s="678"/>
      <c r="DB12" s="677"/>
      <c r="DC12" s="677"/>
      <c r="DD12" s="677"/>
      <c r="DE12" s="679"/>
      <c r="DF12" s="678"/>
      <c r="DG12" s="677"/>
      <c r="DH12" s="677"/>
      <c r="DI12" s="677"/>
      <c r="DJ12" s="679"/>
      <c r="DK12" s="678"/>
      <c r="DL12" s="677"/>
      <c r="DM12" s="677"/>
      <c r="DN12" s="677"/>
      <c r="DO12" s="679"/>
      <c r="DP12" s="678"/>
      <c r="DQ12" s="677"/>
      <c r="DR12" s="677"/>
      <c r="DS12" s="677"/>
      <c r="DT12" s="679"/>
      <c r="DU12" s="678"/>
      <c r="DV12" s="677"/>
      <c r="DW12" s="677"/>
      <c r="DX12" s="677"/>
      <c r="DY12" s="679"/>
      <c r="DZ12" s="678"/>
      <c r="EA12" s="677"/>
      <c r="EB12" s="677"/>
      <c r="EC12" s="677"/>
      <c r="ED12" s="679"/>
      <c r="EE12" s="678"/>
      <c r="EF12" s="677"/>
      <c r="EG12" s="677"/>
      <c r="EH12" s="677"/>
      <c r="EI12" s="679"/>
      <c r="EJ12" s="678"/>
      <c r="EK12" s="677"/>
      <c r="EL12" s="677"/>
      <c r="EM12" s="677"/>
      <c r="EN12" s="679"/>
      <c r="EO12" s="678"/>
      <c r="EP12" s="677"/>
      <c r="EQ12" s="677"/>
      <c r="ER12" s="677"/>
      <c r="ES12" s="679"/>
      <c r="ET12" s="678"/>
      <c r="EU12" s="677"/>
      <c r="EV12" s="677"/>
      <c r="EW12" s="677"/>
      <c r="EX12" s="679"/>
      <c r="EY12" s="678"/>
      <c r="EZ12" s="677"/>
      <c r="FA12" s="677"/>
      <c r="FB12" s="677"/>
      <c r="FC12" s="679"/>
      <c r="FD12" s="678"/>
      <c r="FE12" s="677"/>
      <c r="FF12" s="677"/>
      <c r="FG12" s="677"/>
      <c r="FH12" s="679"/>
    </row>
    <row r="13" spans="1:164" ht="14.25" thickBot="1">
      <c r="B13" s="683" t="s">
        <v>1362</v>
      </c>
      <c r="C13" s="683"/>
      <c r="D13" s="683"/>
      <c r="E13" s="658"/>
      <c r="F13" s="660">
        <f>'[1]基本 (1)'!N76</f>
        <v>6.2</v>
      </c>
      <c r="G13" s="660">
        <f>ROUND(F13*1.7,1)</f>
        <v>10.5</v>
      </c>
      <c r="H13" s="684" t="s">
        <v>1363</v>
      </c>
      <c r="I13" s="685">
        <f>ROUND(G13*2/3,1)</f>
        <v>7</v>
      </c>
      <c r="J13" s="686">
        <v>3</v>
      </c>
      <c r="K13" s="687"/>
      <c r="L13" s="688"/>
      <c r="M13" s="688"/>
      <c r="N13" s="688"/>
      <c r="O13" s="689"/>
      <c r="P13" s="688"/>
      <c r="Q13" s="688"/>
      <c r="R13" s="688"/>
      <c r="S13" s="690"/>
      <c r="T13" s="689"/>
      <c r="U13" s="688"/>
      <c r="V13" s="688"/>
      <c r="W13" s="688"/>
      <c r="X13" s="690"/>
      <c r="Y13" s="689"/>
      <c r="Z13" s="688"/>
      <c r="AA13" s="688"/>
      <c r="AB13" s="688"/>
      <c r="AC13" s="690"/>
      <c r="AD13" s="689"/>
      <c r="AE13" s="688"/>
      <c r="AF13" s="688"/>
      <c r="AG13" s="688"/>
      <c r="AH13" s="690"/>
      <c r="AI13" s="689"/>
      <c r="AJ13" s="688"/>
      <c r="AK13" s="688"/>
      <c r="AL13" s="688"/>
      <c r="AM13" s="690"/>
      <c r="AN13" s="689"/>
      <c r="AO13" s="688"/>
      <c r="AP13" s="688"/>
      <c r="AQ13" s="688"/>
      <c r="AR13" s="690"/>
      <c r="AS13" s="689"/>
      <c r="AT13" s="688"/>
      <c r="AU13" s="688"/>
      <c r="AV13" s="688"/>
      <c r="AW13" s="690"/>
      <c r="AX13" s="689"/>
      <c r="AY13" s="691"/>
      <c r="AZ13" s="691"/>
      <c r="BA13" s="691"/>
      <c r="BB13" s="690"/>
      <c r="BC13" s="689"/>
      <c r="BD13" s="688"/>
      <c r="BE13" s="688"/>
      <c r="BF13" s="688"/>
      <c r="BG13" s="690"/>
      <c r="BH13" s="689"/>
      <c r="BI13" s="688"/>
      <c r="BJ13" s="688"/>
      <c r="BK13" s="688"/>
      <c r="BL13" s="690"/>
      <c r="BM13" s="689"/>
      <c r="BN13" s="688"/>
      <c r="BO13" s="688"/>
      <c r="BP13" s="688"/>
      <c r="BQ13" s="690"/>
      <c r="BR13" s="689"/>
      <c r="BS13" s="688"/>
      <c r="BT13" s="688"/>
      <c r="BU13" s="688"/>
      <c r="BV13" s="690"/>
      <c r="BW13" s="689"/>
      <c r="BX13" s="688"/>
      <c r="BY13" s="688"/>
      <c r="BZ13" s="688"/>
      <c r="CA13" s="690"/>
      <c r="CB13" s="689"/>
      <c r="CC13" s="688"/>
      <c r="CD13" s="688"/>
      <c r="CE13" s="688"/>
      <c r="CF13" s="690"/>
      <c r="CG13" s="689"/>
      <c r="CH13" s="688"/>
      <c r="CI13" s="688"/>
      <c r="CJ13" s="688"/>
      <c r="CK13" s="690"/>
      <c r="CL13" s="689"/>
      <c r="CM13" s="688"/>
      <c r="CN13" s="688"/>
      <c r="CO13" s="688"/>
      <c r="CP13" s="690"/>
      <c r="CQ13" s="689"/>
      <c r="CR13" s="688"/>
      <c r="CS13" s="688"/>
      <c r="CT13" s="688"/>
      <c r="CU13" s="690"/>
      <c r="CV13" s="689"/>
      <c r="CW13" s="688"/>
      <c r="CX13" s="688"/>
      <c r="CY13" s="688"/>
      <c r="CZ13" s="690"/>
      <c r="DA13" s="689"/>
      <c r="DB13" s="688"/>
      <c r="DC13" s="688"/>
      <c r="DD13" s="688"/>
      <c r="DE13" s="690"/>
      <c r="DF13" s="689"/>
      <c r="DG13" s="688"/>
      <c r="DH13" s="688"/>
      <c r="DI13" s="688"/>
      <c r="DJ13" s="690"/>
      <c r="DK13" s="689"/>
      <c r="DL13" s="688"/>
      <c r="DM13" s="688"/>
      <c r="DN13" s="688"/>
      <c r="DO13" s="690"/>
      <c r="DP13" s="689"/>
      <c r="DQ13" s="688"/>
      <c r="DR13" s="688"/>
      <c r="DS13" s="688"/>
      <c r="DT13" s="690"/>
      <c r="DU13" s="689"/>
      <c r="DV13" s="688"/>
      <c r="DW13" s="688"/>
      <c r="DX13" s="688"/>
      <c r="DY13" s="690"/>
      <c r="DZ13" s="689"/>
      <c r="EA13" s="688"/>
      <c r="EB13" s="688"/>
      <c r="EC13" s="688"/>
      <c r="ED13" s="690"/>
      <c r="EE13" s="689"/>
      <c r="EF13" s="688"/>
      <c r="EG13" s="688"/>
      <c r="EH13" s="691"/>
      <c r="EI13" s="692"/>
      <c r="EJ13" s="689"/>
      <c r="EK13" s="688"/>
      <c r="EL13" s="688"/>
      <c r="EM13" s="688"/>
      <c r="EN13" s="690"/>
      <c r="EO13" s="689"/>
      <c r="EP13" s="688"/>
      <c r="EQ13" s="688"/>
      <c r="ER13" s="688"/>
      <c r="ES13" s="690"/>
      <c r="ET13" s="689"/>
      <c r="EU13" s="688"/>
      <c r="EV13" s="688"/>
      <c r="EW13" s="688"/>
      <c r="EX13" s="690"/>
      <c r="EY13" s="689"/>
      <c r="EZ13" s="688"/>
      <c r="FA13" s="688"/>
      <c r="FB13" s="688"/>
      <c r="FC13" s="690"/>
      <c r="FD13" s="689"/>
      <c r="FE13" s="688"/>
      <c r="FF13" s="688"/>
      <c r="FG13" s="688"/>
      <c r="FH13" s="690"/>
    </row>
    <row r="14" spans="1:164">
      <c r="B14" s="670"/>
      <c r="C14" s="671"/>
      <c r="D14" s="671"/>
      <c r="E14" s="671"/>
      <c r="F14" s="672"/>
      <c r="G14" s="672"/>
      <c r="H14" s="673" t="s">
        <v>1364</v>
      </c>
      <c r="I14" s="674">
        <f>ROUND(G13*1/3,1)</f>
        <v>3.5</v>
      </c>
      <c r="J14" s="675">
        <v>27</v>
      </c>
      <c r="K14" s="676"/>
      <c r="L14" s="677"/>
      <c r="M14" s="677"/>
      <c r="N14" s="677"/>
      <c r="O14" s="678"/>
      <c r="P14" s="677"/>
      <c r="Q14" s="677"/>
      <c r="R14" s="677"/>
      <c r="S14" s="679"/>
      <c r="T14" s="678"/>
      <c r="U14" s="677"/>
      <c r="V14" s="677"/>
      <c r="W14" s="677"/>
      <c r="X14" s="679"/>
      <c r="Y14" s="678"/>
      <c r="Z14" s="677"/>
      <c r="AA14" s="677"/>
      <c r="AB14" s="677"/>
      <c r="AC14" s="679"/>
      <c r="AD14" s="678"/>
      <c r="AE14" s="677"/>
      <c r="AF14" s="677"/>
      <c r="AG14" s="677"/>
      <c r="AH14" s="679"/>
      <c r="AI14" s="678"/>
      <c r="AJ14" s="677"/>
      <c r="AK14" s="677"/>
      <c r="AL14" s="677"/>
      <c r="AM14" s="679"/>
      <c r="AN14" s="678"/>
      <c r="AO14" s="677"/>
      <c r="AP14" s="677"/>
      <c r="AQ14" s="677"/>
      <c r="AR14" s="679"/>
      <c r="AS14" s="678"/>
      <c r="AT14" s="677"/>
      <c r="AU14" s="677"/>
      <c r="AV14" s="677"/>
      <c r="AW14" s="679"/>
      <c r="AX14" s="678"/>
      <c r="AY14" s="677"/>
      <c r="AZ14" s="677"/>
      <c r="BA14" s="677"/>
      <c r="BB14" s="679"/>
      <c r="BC14" s="678"/>
      <c r="BD14" s="677"/>
      <c r="BE14" s="677"/>
      <c r="BF14" s="677"/>
      <c r="BG14" s="679"/>
      <c r="BH14" s="678"/>
      <c r="BI14" s="677"/>
      <c r="BJ14" s="677"/>
      <c r="BK14" s="677"/>
      <c r="BL14" s="679"/>
      <c r="BM14" s="678"/>
      <c r="BN14" s="677"/>
      <c r="BO14" s="677"/>
      <c r="BP14" s="677"/>
      <c r="BQ14" s="679"/>
      <c r="BR14" s="678"/>
      <c r="BS14" s="677"/>
      <c r="BT14" s="677"/>
      <c r="BU14" s="677"/>
      <c r="BV14" s="679"/>
      <c r="BW14" s="678"/>
      <c r="BX14" s="677"/>
      <c r="BY14" s="677"/>
      <c r="BZ14" s="677"/>
      <c r="CA14" s="679"/>
      <c r="CB14" s="678"/>
      <c r="CC14" s="677"/>
      <c r="CD14" s="677"/>
      <c r="CE14" s="677"/>
      <c r="CF14" s="679"/>
      <c r="CG14" s="678"/>
      <c r="CH14" s="677"/>
      <c r="CI14" s="677"/>
      <c r="CJ14" s="677"/>
      <c r="CK14" s="679"/>
      <c r="CL14" s="678"/>
      <c r="CM14" s="677"/>
      <c r="CN14" s="677"/>
      <c r="CO14" s="677"/>
      <c r="CP14" s="679"/>
      <c r="CQ14" s="678"/>
      <c r="CR14" s="677"/>
      <c r="CS14" s="677"/>
      <c r="CT14" s="677"/>
      <c r="CU14" s="679"/>
      <c r="CV14" s="678"/>
      <c r="CW14" s="677"/>
      <c r="CX14" s="677"/>
      <c r="CY14" s="677"/>
      <c r="CZ14" s="679"/>
      <c r="DA14" s="678"/>
      <c r="DB14" s="677"/>
      <c r="DC14" s="677"/>
      <c r="DD14" s="677"/>
      <c r="DE14" s="679"/>
      <c r="DF14" s="678"/>
      <c r="DG14" s="677"/>
      <c r="DH14" s="677"/>
      <c r="DI14" s="677"/>
      <c r="DJ14" s="679"/>
      <c r="DK14" s="678"/>
      <c r="DL14" s="677"/>
      <c r="DM14" s="677"/>
      <c r="DN14" s="677"/>
      <c r="DO14" s="679"/>
      <c r="DP14" s="678"/>
      <c r="DQ14" s="677"/>
      <c r="DR14" s="677"/>
      <c r="DS14" s="677"/>
      <c r="DT14" s="679"/>
      <c r="DU14" s="678"/>
      <c r="DV14" s="677"/>
      <c r="DW14" s="677"/>
      <c r="DX14" s="677"/>
      <c r="DY14" s="679"/>
      <c r="DZ14" s="678"/>
      <c r="EA14" s="677"/>
      <c r="EB14" s="677"/>
      <c r="EC14" s="677"/>
      <c r="ED14" s="679"/>
      <c r="EE14" s="678"/>
      <c r="EF14" s="677"/>
      <c r="EG14" s="677"/>
      <c r="EH14" s="677"/>
      <c r="EI14" s="679"/>
      <c r="EJ14" s="678"/>
      <c r="EK14" s="677"/>
      <c r="EL14" s="677"/>
      <c r="EM14" s="677"/>
      <c r="EN14" s="679"/>
      <c r="EO14" s="678"/>
      <c r="EP14" s="677"/>
      <c r="EQ14" s="677"/>
      <c r="ER14" s="677"/>
      <c r="ES14" s="679"/>
      <c r="ET14" s="678"/>
      <c r="EU14" s="677"/>
      <c r="EV14" s="677"/>
      <c r="EW14" s="677"/>
      <c r="EX14" s="679"/>
      <c r="EY14" s="678"/>
      <c r="EZ14" s="677"/>
      <c r="FA14" s="677"/>
      <c r="FB14" s="677"/>
      <c r="FC14" s="679"/>
      <c r="FD14" s="678"/>
      <c r="FE14" s="677"/>
      <c r="FF14" s="677"/>
      <c r="FG14" s="677"/>
      <c r="FH14" s="679"/>
    </row>
    <row r="15" spans="1:164" ht="14.25" thickBot="1">
      <c r="B15" s="683" t="s">
        <v>947</v>
      </c>
      <c r="C15" s="683"/>
      <c r="D15" s="683"/>
      <c r="E15" s="658"/>
      <c r="F15" s="660">
        <f>'[1]基本 (1)'!N77</f>
        <v>4</v>
      </c>
      <c r="G15" s="660">
        <f>ROUND(F15*1.7,1)</f>
        <v>6.8</v>
      </c>
      <c r="H15" s="684" t="s">
        <v>1365</v>
      </c>
      <c r="I15" s="685">
        <f>ROUND(G15*2/3,1)</f>
        <v>4.5</v>
      </c>
      <c r="J15" s="686">
        <v>4</v>
      </c>
      <c r="K15" s="687"/>
      <c r="L15" s="688"/>
      <c r="M15" s="688"/>
      <c r="N15" s="688"/>
      <c r="O15" s="689"/>
      <c r="P15" s="688"/>
      <c r="Q15" s="688"/>
      <c r="R15" s="688"/>
      <c r="S15" s="690"/>
      <c r="T15" s="689"/>
      <c r="U15" s="688"/>
      <c r="V15" s="688"/>
      <c r="W15" s="688"/>
      <c r="X15" s="690"/>
      <c r="Y15" s="689"/>
      <c r="Z15" s="688"/>
      <c r="AA15" s="688"/>
      <c r="AB15" s="688"/>
      <c r="AC15" s="690"/>
      <c r="AD15" s="689"/>
      <c r="AE15" s="688"/>
      <c r="AF15" s="688"/>
      <c r="AG15" s="688"/>
      <c r="AH15" s="690"/>
      <c r="AI15" s="689"/>
      <c r="AJ15" s="688"/>
      <c r="AK15" s="688"/>
      <c r="AL15" s="688"/>
      <c r="AM15" s="690"/>
      <c r="AN15" s="689"/>
      <c r="AO15" s="688"/>
      <c r="AP15" s="688"/>
      <c r="AQ15" s="688"/>
      <c r="AR15" s="690"/>
      <c r="AS15" s="689"/>
      <c r="AT15" s="688"/>
      <c r="AU15" s="688"/>
      <c r="AV15" s="688"/>
      <c r="AW15" s="690"/>
      <c r="AX15" s="689"/>
      <c r="AY15" s="688"/>
      <c r="AZ15" s="688"/>
      <c r="BA15" s="688"/>
      <c r="BB15" s="692"/>
      <c r="BC15" s="693"/>
      <c r="BD15" s="691"/>
      <c r="BE15" s="688"/>
      <c r="BF15" s="688"/>
      <c r="BG15" s="690"/>
      <c r="BH15" s="689"/>
      <c r="BI15" s="688"/>
      <c r="BJ15" s="688"/>
      <c r="BK15" s="688"/>
      <c r="BL15" s="690"/>
      <c r="BM15" s="689"/>
      <c r="BN15" s="688"/>
      <c r="BO15" s="688"/>
      <c r="BP15" s="688"/>
      <c r="BQ15" s="690"/>
      <c r="BR15" s="689"/>
      <c r="BS15" s="688"/>
      <c r="BT15" s="688"/>
      <c r="BU15" s="688"/>
      <c r="BV15" s="690"/>
      <c r="BW15" s="689"/>
      <c r="BX15" s="688"/>
      <c r="BY15" s="688"/>
      <c r="BZ15" s="688"/>
      <c r="CA15" s="690"/>
      <c r="CB15" s="689"/>
      <c r="CC15" s="688"/>
      <c r="CD15" s="688"/>
      <c r="CE15" s="688"/>
      <c r="CF15" s="690"/>
      <c r="CG15" s="689"/>
      <c r="CH15" s="688"/>
      <c r="CI15" s="688"/>
      <c r="CJ15" s="688"/>
      <c r="CK15" s="690"/>
      <c r="CL15" s="689"/>
      <c r="CM15" s="688"/>
      <c r="CN15" s="688"/>
      <c r="CO15" s="688"/>
      <c r="CP15" s="690"/>
      <c r="CQ15" s="689"/>
      <c r="CR15" s="688"/>
      <c r="CS15" s="688"/>
      <c r="CT15" s="688"/>
      <c r="CU15" s="690"/>
      <c r="CV15" s="689"/>
      <c r="CW15" s="688"/>
      <c r="CX15" s="688"/>
      <c r="CY15" s="688"/>
      <c r="CZ15" s="690"/>
      <c r="DA15" s="689"/>
      <c r="DB15" s="688"/>
      <c r="DC15" s="688"/>
      <c r="DD15" s="688"/>
      <c r="DE15" s="690"/>
      <c r="DF15" s="689"/>
      <c r="DG15" s="688"/>
      <c r="DH15" s="688"/>
      <c r="DI15" s="688"/>
      <c r="DJ15" s="690"/>
      <c r="DK15" s="689"/>
      <c r="DL15" s="688"/>
      <c r="DM15" s="688"/>
      <c r="DN15" s="688"/>
      <c r="DO15" s="690"/>
      <c r="DP15" s="689"/>
      <c r="DQ15" s="688"/>
      <c r="DR15" s="688"/>
      <c r="DS15" s="688"/>
      <c r="DT15" s="690"/>
      <c r="DU15" s="689"/>
      <c r="DV15" s="688"/>
      <c r="DW15" s="688"/>
      <c r="DX15" s="688"/>
      <c r="DY15" s="690"/>
      <c r="DZ15" s="689"/>
      <c r="EA15" s="688"/>
      <c r="EB15" s="688"/>
      <c r="EC15" s="688"/>
      <c r="ED15" s="690"/>
      <c r="EE15" s="689"/>
      <c r="EF15" s="688"/>
      <c r="EG15" s="691"/>
      <c r="EH15" s="688"/>
      <c r="EI15" s="690"/>
      <c r="EJ15" s="689"/>
      <c r="EK15" s="688"/>
      <c r="EL15" s="688"/>
      <c r="EM15" s="688"/>
      <c r="EN15" s="690"/>
      <c r="EO15" s="689"/>
      <c r="EP15" s="688"/>
      <c r="EQ15" s="688"/>
      <c r="ER15" s="688"/>
      <c r="ES15" s="690"/>
      <c r="ET15" s="689"/>
      <c r="EU15" s="688"/>
      <c r="EV15" s="688"/>
      <c r="EW15" s="688"/>
      <c r="EX15" s="690"/>
      <c r="EY15" s="689"/>
      <c r="EZ15" s="688"/>
      <c r="FA15" s="688"/>
      <c r="FB15" s="688"/>
      <c r="FC15" s="690"/>
      <c r="FD15" s="689"/>
      <c r="FE15" s="688"/>
      <c r="FF15" s="688"/>
      <c r="FG15" s="688"/>
      <c r="FH15" s="690"/>
    </row>
    <row r="16" spans="1:164">
      <c r="B16" s="670"/>
      <c r="C16" s="671"/>
      <c r="D16" s="671"/>
      <c r="E16" s="671"/>
      <c r="F16" s="672"/>
      <c r="G16" s="672"/>
      <c r="H16" s="673" t="s">
        <v>1361</v>
      </c>
      <c r="I16" s="674">
        <f>ROUND(G15*1/3,1)</f>
        <v>2.2999999999999998</v>
      </c>
      <c r="J16" s="675">
        <v>26</v>
      </c>
      <c r="K16" s="676"/>
      <c r="L16" s="677"/>
      <c r="M16" s="677"/>
      <c r="N16" s="677"/>
      <c r="O16" s="678"/>
      <c r="P16" s="677"/>
      <c r="Q16" s="677"/>
      <c r="R16" s="677"/>
      <c r="S16" s="679"/>
      <c r="T16" s="678"/>
      <c r="U16" s="677"/>
      <c r="V16" s="677"/>
      <c r="W16" s="677"/>
      <c r="X16" s="679"/>
      <c r="Y16" s="678"/>
      <c r="Z16" s="677"/>
      <c r="AA16" s="677"/>
      <c r="AB16" s="677"/>
      <c r="AC16" s="679"/>
      <c r="AD16" s="678"/>
      <c r="AE16" s="677"/>
      <c r="AF16" s="677"/>
      <c r="AG16" s="677"/>
      <c r="AH16" s="679"/>
      <c r="AI16" s="678"/>
      <c r="AJ16" s="677"/>
      <c r="AK16" s="677"/>
      <c r="AL16" s="677"/>
      <c r="AM16" s="679"/>
      <c r="AN16" s="678"/>
      <c r="AO16" s="677"/>
      <c r="AP16" s="677"/>
      <c r="AQ16" s="677"/>
      <c r="AR16" s="679"/>
      <c r="AS16" s="678"/>
      <c r="AT16" s="677"/>
      <c r="AU16" s="677"/>
      <c r="AV16" s="677"/>
      <c r="AW16" s="679"/>
      <c r="AX16" s="678"/>
      <c r="AY16" s="677"/>
      <c r="AZ16" s="677"/>
      <c r="BA16" s="677"/>
      <c r="BB16" s="679"/>
      <c r="BC16" s="678"/>
      <c r="BD16" s="677"/>
      <c r="BE16" s="677"/>
      <c r="BF16" s="677"/>
      <c r="BG16" s="679"/>
      <c r="BH16" s="678"/>
      <c r="BI16" s="677"/>
      <c r="BJ16" s="677"/>
      <c r="BK16" s="677"/>
      <c r="BL16" s="679"/>
      <c r="BM16" s="678"/>
      <c r="BN16" s="677"/>
      <c r="BO16" s="677"/>
      <c r="BP16" s="677"/>
      <c r="BQ16" s="679"/>
      <c r="BR16" s="678"/>
      <c r="BS16" s="677"/>
      <c r="BT16" s="677"/>
      <c r="BU16" s="677"/>
      <c r="BV16" s="679"/>
      <c r="BW16" s="678"/>
      <c r="BX16" s="677"/>
      <c r="BY16" s="677"/>
      <c r="BZ16" s="677"/>
      <c r="CA16" s="679"/>
      <c r="CB16" s="678"/>
      <c r="CC16" s="677"/>
      <c r="CD16" s="677"/>
      <c r="CE16" s="677"/>
      <c r="CF16" s="679"/>
      <c r="CG16" s="678"/>
      <c r="CH16" s="677"/>
      <c r="CI16" s="677"/>
      <c r="CJ16" s="677"/>
      <c r="CK16" s="679"/>
      <c r="CL16" s="678"/>
      <c r="CM16" s="677"/>
      <c r="CN16" s="677"/>
      <c r="CO16" s="677"/>
      <c r="CP16" s="679"/>
      <c r="CQ16" s="678"/>
      <c r="CR16" s="677"/>
      <c r="CS16" s="677"/>
      <c r="CT16" s="677"/>
      <c r="CU16" s="679"/>
      <c r="CV16" s="678"/>
      <c r="CW16" s="677"/>
      <c r="CX16" s="677"/>
      <c r="CY16" s="677"/>
      <c r="CZ16" s="679"/>
      <c r="DA16" s="678"/>
      <c r="DB16" s="677"/>
      <c r="DC16" s="677"/>
      <c r="DD16" s="677"/>
      <c r="DE16" s="679"/>
      <c r="DF16" s="678"/>
      <c r="DG16" s="677"/>
      <c r="DH16" s="677"/>
      <c r="DI16" s="677"/>
      <c r="DJ16" s="679"/>
      <c r="DK16" s="678"/>
      <c r="DL16" s="677"/>
      <c r="DM16" s="677"/>
      <c r="DN16" s="677"/>
      <c r="DO16" s="679"/>
      <c r="DP16" s="678"/>
      <c r="DQ16" s="677"/>
      <c r="DR16" s="677"/>
      <c r="DS16" s="677"/>
      <c r="DT16" s="679"/>
      <c r="DU16" s="678"/>
      <c r="DV16" s="677"/>
      <c r="DW16" s="677"/>
      <c r="DX16" s="677"/>
      <c r="DY16" s="679"/>
      <c r="DZ16" s="678"/>
      <c r="EA16" s="677"/>
      <c r="EB16" s="677"/>
      <c r="EC16" s="677"/>
      <c r="ED16" s="679"/>
      <c r="EE16" s="678"/>
      <c r="EF16" s="677"/>
      <c r="EG16" s="677"/>
      <c r="EH16" s="677"/>
      <c r="EI16" s="679"/>
      <c r="EJ16" s="678"/>
      <c r="EK16" s="677"/>
      <c r="EL16" s="677"/>
      <c r="EM16" s="677"/>
      <c r="EN16" s="679"/>
      <c r="EO16" s="678"/>
      <c r="EP16" s="677"/>
      <c r="EQ16" s="677"/>
      <c r="ER16" s="677"/>
      <c r="ES16" s="679"/>
      <c r="ET16" s="678"/>
      <c r="EU16" s="677"/>
      <c r="EV16" s="677"/>
      <c r="EW16" s="677"/>
      <c r="EX16" s="679"/>
      <c r="EY16" s="678"/>
      <c r="EZ16" s="677"/>
      <c r="FA16" s="677"/>
      <c r="FB16" s="677"/>
      <c r="FC16" s="679"/>
      <c r="FD16" s="678"/>
      <c r="FE16" s="677"/>
      <c r="FF16" s="677"/>
      <c r="FG16" s="677"/>
      <c r="FH16" s="679"/>
    </row>
    <row r="17" spans="2:164" ht="14.25" thickBot="1">
      <c r="B17" s="683" t="s">
        <v>954</v>
      </c>
      <c r="C17" s="683"/>
      <c r="D17" s="683"/>
      <c r="E17" s="658"/>
      <c r="F17" s="660">
        <f>'[1]基本 (1)'!N79</f>
        <v>9.1999999999999993</v>
      </c>
      <c r="G17" s="660">
        <f>ROUND(F17*1.7,1)</f>
        <v>15.6</v>
      </c>
      <c r="H17" s="684" t="s">
        <v>1363</v>
      </c>
      <c r="I17" s="685">
        <f>ROUND(G17*2/3,1)</f>
        <v>10.4</v>
      </c>
      <c r="J17" s="686">
        <v>10</v>
      </c>
      <c r="K17" s="687"/>
      <c r="L17" s="688"/>
      <c r="M17" s="688"/>
      <c r="N17" s="688"/>
      <c r="O17" s="689"/>
      <c r="P17" s="688"/>
      <c r="Q17" s="688"/>
      <c r="R17" s="688"/>
      <c r="S17" s="690"/>
      <c r="T17" s="689"/>
      <c r="U17" s="688"/>
      <c r="V17" s="688"/>
      <c r="W17" s="688"/>
      <c r="X17" s="690"/>
      <c r="Y17" s="689"/>
      <c r="Z17" s="688"/>
      <c r="AA17" s="688"/>
      <c r="AB17" s="688"/>
      <c r="AC17" s="690"/>
      <c r="AD17" s="689"/>
      <c r="AE17" s="688"/>
      <c r="AF17" s="688"/>
      <c r="AG17" s="688"/>
      <c r="AH17" s="690"/>
      <c r="AI17" s="689"/>
      <c r="AJ17" s="688"/>
      <c r="AK17" s="688"/>
      <c r="AL17" s="688"/>
      <c r="AM17" s="690"/>
      <c r="AN17" s="689"/>
      <c r="AO17" s="688"/>
      <c r="AP17" s="688"/>
      <c r="AQ17" s="688"/>
      <c r="AR17" s="690"/>
      <c r="AS17" s="689"/>
      <c r="AT17" s="688"/>
      <c r="AU17" s="688"/>
      <c r="AV17" s="688"/>
      <c r="AW17" s="690"/>
      <c r="AX17" s="689"/>
      <c r="AY17" s="688"/>
      <c r="AZ17" s="688"/>
      <c r="BA17" s="688"/>
      <c r="BB17" s="690"/>
      <c r="BC17" s="689"/>
      <c r="BD17" s="688"/>
      <c r="BE17" s="688"/>
      <c r="BF17" s="688"/>
      <c r="BG17" s="690"/>
      <c r="BH17" s="689"/>
      <c r="BI17" s="688"/>
      <c r="BJ17" s="688"/>
      <c r="BK17" s="688"/>
      <c r="BL17" s="690"/>
      <c r="BM17" s="689"/>
      <c r="BN17" s="688"/>
      <c r="BO17" s="688"/>
      <c r="BP17" s="688"/>
      <c r="BQ17" s="690"/>
      <c r="BR17" s="689"/>
      <c r="BS17" s="688"/>
      <c r="BT17" s="691"/>
      <c r="BU17" s="691"/>
      <c r="BV17" s="692"/>
      <c r="BW17" s="693"/>
      <c r="BX17" s="691"/>
      <c r="BY17" s="688"/>
      <c r="BZ17" s="688"/>
      <c r="CA17" s="690"/>
      <c r="CB17" s="689"/>
      <c r="CC17" s="688"/>
      <c r="CD17" s="688"/>
      <c r="CE17" s="688"/>
      <c r="CF17" s="690"/>
      <c r="CG17" s="689"/>
      <c r="CH17" s="688"/>
      <c r="CI17" s="688"/>
      <c r="CJ17" s="688"/>
      <c r="CK17" s="690"/>
      <c r="CL17" s="689"/>
      <c r="CM17" s="688"/>
      <c r="CN17" s="688"/>
      <c r="CO17" s="688"/>
      <c r="CP17" s="690"/>
      <c r="CQ17" s="689"/>
      <c r="CR17" s="688"/>
      <c r="CS17" s="688"/>
      <c r="CT17" s="688"/>
      <c r="CU17" s="690"/>
      <c r="CV17" s="689"/>
      <c r="CW17" s="688"/>
      <c r="CX17" s="688"/>
      <c r="CY17" s="688"/>
      <c r="CZ17" s="690"/>
      <c r="DA17" s="689"/>
      <c r="DB17" s="688"/>
      <c r="DC17" s="688"/>
      <c r="DD17" s="688"/>
      <c r="DE17" s="690"/>
      <c r="DF17" s="689"/>
      <c r="DG17" s="688"/>
      <c r="DH17" s="688"/>
      <c r="DI17" s="688"/>
      <c r="DJ17" s="690"/>
      <c r="DK17" s="689"/>
      <c r="DL17" s="688"/>
      <c r="DM17" s="688"/>
      <c r="DN17" s="688"/>
      <c r="DO17" s="690"/>
      <c r="DP17" s="689"/>
      <c r="DQ17" s="688"/>
      <c r="DR17" s="688"/>
      <c r="DS17" s="688"/>
      <c r="DT17" s="690"/>
      <c r="DU17" s="689"/>
      <c r="DV17" s="688"/>
      <c r="DW17" s="691"/>
      <c r="DX17" s="691"/>
      <c r="DY17" s="692"/>
      <c r="DZ17" s="689"/>
      <c r="EA17" s="688"/>
      <c r="EB17" s="688"/>
      <c r="EC17" s="688"/>
      <c r="ED17" s="690"/>
      <c r="EE17" s="689"/>
      <c r="EF17" s="688"/>
      <c r="EG17" s="688"/>
      <c r="EH17" s="688"/>
      <c r="EI17" s="690"/>
      <c r="EJ17" s="689"/>
      <c r="EK17" s="688"/>
      <c r="EL17" s="688"/>
      <c r="EM17" s="688"/>
      <c r="EN17" s="690"/>
      <c r="EO17" s="689"/>
      <c r="EP17" s="688"/>
      <c r="EQ17" s="688"/>
      <c r="ER17" s="688"/>
      <c r="ES17" s="690"/>
      <c r="ET17" s="689"/>
      <c r="EU17" s="688"/>
      <c r="EV17" s="688"/>
      <c r="EW17" s="688"/>
      <c r="EX17" s="690"/>
      <c r="EY17" s="689"/>
      <c r="EZ17" s="688"/>
      <c r="FA17" s="688"/>
      <c r="FB17" s="688"/>
      <c r="FC17" s="690"/>
      <c r="FD17" s="689"/>
      <c r="FE17" s="688"/>
      <c r="FF17" s="688"/>
      <c r="FG17" s="688"/>
      <c r="FH17" s="690"/>
    </row>
    <row r="18" spans="2:164">
      <c r="B18" s="670"/>
      <c r="C18" s="671"/>
      <c r="D18" s="671"/>
      <c r="E18" s="671"/>
      <c r="F18" s="672"/>
      <c r="G18" s="672"/>
      <c r="H18" s="673" t="s">
        <v>1364</v>
      </c>
      <c r="I18" s="674">
        <f>ROUND(G17*1/3,1)</f>
        <v>5.2</v>
      </c>
      <c r="J18" s="675">
        <v>20</v>
      </c>
      <c r="K18" s="676"/>
      <c r="L18" s="677"/>
      <c r="M18" s="677"/>
      <c r="N18" s="677"/>
      <c r="O18" s="678"/>
      <c r="P18" s="677"/>
      <c r="Q18" s="677"/>
      <c r="R18" s="677"/>
      <c r="S18" s="679"/>
      <c r="T18" s="678"/>
      <c r="U18" s="677"/>
      <c r="V18" s="677"/>
      <c r="W18" s="677"/>
      <c r="X18" s="679"/>
      <c r="Y18" s="678"/>
      <c r="Z18" s="677"/>
      <c r="AA18" s="677"/>
      <c r="AB18" s="677"/>
      <c r="AC18" s="679"/>
      <c r="AD18" s="678"/>
      <c r="AE18" s="677"/>
      <c r="AF18" s="677"/>
      <c r="AG18" s="677"/>
      <c r="AH18" s="679"/>
      <c r="AI18" s="678"/>
      <c r="AJ18" s="677"/>
      <c r="AK18" s="677"/>
      <c r="AL18" s="677"/>
      <c r="AM18" s="679"/>
      <c r="AN18" s="678"/>
      <c r="AO18" s="677"/>
      <c r="AP18" s="677"/>
      <c r="AQ18" s="677"/>
      <c r="AR18" s="679"/>
      <c r="AS18" s="678"/>
      <c r="AT18" s="677"/>
      <c r="AU18" s="677"/>
      <c r="AV18" s="677"/>
      <c r="AW18" s="679"/>
      <c r="AX18" s="678"/>
      <c r="AY18" s="677"/>
      <c r="AZ18" s="677"/>
      <c r="BA18" s="677"/>
      <c r="BB18" s="679"/>
      <c r="BC18" s="678"/>
      <c r="BD18" s="677"/>
      <c r="BE18" s="677"/>
      <c r="BF18" s="677"/>
      <c r="BG18" s="679"/>
      <c r="BH18" s="678"/>
      <c r="BI18" s="677"/>
      <c r="BJ18" s="677"/>
      <c r="BK18" s="677"/>
      <c r="BL18" s="679"/>
      <c r="BM18" s="678"/>
      <c r="BN18" s="677"/>
      <c r="BO18" s="677"/>
      <c r="BP18" s="677"/>
      <c r="BQ18" s="679"/>
      <c r="BR18" s="678"/>
      <c r="BS18" s="677"/>
      <c r="BT18" s="677"/>
      <c r="BU18" s="677"/>
      <c r="BV18" s="679"/>
      <c r="BW18" s="678"/>
      <c r="BX18" s="677"/>
      <c r="BY18" s="677"/>
      <c r="BZ18" s="677"/>
      <c r="CA18" s="679"/>
      <c r="CB18" s="678"/>
      <c r="CC18" s="677"/>
      <c r="CD18" s="677"/>
      <c r="CE18" s="677"/>
      <c r="CF18" s="679"/>
      <c r="CG18" s="678"/>
      <c r="CH18" s="677"/>
      <c r="CI18" s="677"/>
      <c r="CJ18" s="677"/>
      <c r="CK18" s="679"/>
      <c r="CL18" s="678"/>
      <c r="CM18" s="677"/>
      <c r="CN18" s="677"/>
      <c r="CO18" s="677"/>
      <c r="CP18" s="679"/>
      <c r="CQ18" s="678"/>
      <c r="CR18" s="677"/>
      <c r="CS18" s="677"/>
      <c r="CT18" s="677"/>
      <c r="CU18" s="679"/>
      <c r="CV18" s="678"/>
      <c r="CW18" s="677"/>
      <c r="CX18" s="677"/>
      <c r="CY18" s="677"/>
      <c r="CZ18" s="679"/>
      <c r="DA18" s="678"/>
      <c r="DB18" s="677"/>
      <c r="DC18" s="677"/>
      <c r="DD18" s="677"/>
      <c r="DE18" s="679"/>
      <c r="DF18" s="678"/>
      <c r="DG18" s="677"/>
      <c r="DH18" s="677"/>
      <c r="DI18" s="677"/>
      <c r="DJ18" s="679"/>
      <c r="DK18" s="678"/>
      <c r="DL18" s="677"/>
      <c r="DM18" s="677"/>
      <c r="DN18" s="677"/>
      <c r="DO18" s="679"/>
      <c r="DP18" s="678"/>
      <c r="DQ18" s="677"/>
      <c r="DR18" s="677"/>
      <c r="DS18" s="677"/>
      <c r="DT18" s="679"/>
      <c r="DU18" s="678"/>
      <c r="DV18" s="677"/>
      <c r="DW18" s="677"/>
      <c r="DX18" s="677"/>
      <c r="DY18" s="679"/>
      <c r="DZ18" s="678"/>
      <c r="EA18" s="677"/>
      <c r="EB18" s="677"/>
      <c r="EC18" s="677"/>
      <c r="ED18" s="679"/>
      <c r="EE18" s="678"/>
      <c r="EF18" s="677"/>
      <c r="EG18" s="677"/>
      <c r="EH18" s="677"/>
      <c r="EI18" s="679"/>
      <c r="EJ18" s="678"/>
      <c r="EK18" s="677"/>
      <c r="EL18" s="677"/>
      <c r="EM18" s="677"/>
      <c r="EN18" s="679"/>
      <c r="EO18" s="678"/>
      <c r="EP18" s="677"/>
      <c r="EQ18" s="677"/>
      <c r="ER18" s="677"/>
      <c r="ES18" s="679"/>
      <c r="ET18" s="678"/>
      <c r="EU18" s="677"/>
      <c r="EV18" s="677"/>
      <c r="EW18" s="677"/>
      <c r="EX18" s="679"/>
      <c r="EY18" s="678"/>
      <c r="EZ18" s="677"/>
      <c r="FA18" s="677"/>
      <c r="FB18" s="677"/>
      <c r="FC18" s="679"/>
      <c r="FD18" s="678"/>
      <c r="FE18" s="677"/>
      <c r="FF18" s="677"/>
      <c r="FG18" s="677"/>
      <c r="FH18" s="679"/>
    </row>
    <row r="19" spans="2:164" ht="14.25" thickBot="1">
      <c r="B19" s="683" t="s">
        <v>956</v>
      </c>
      <c r="C19" s="683"/>
      <c r="D19" s="683"/>
      <c r="E19" s="658"/>
      <c r="F19" s="660">
        <f>'[1]基本 (1)'!N80</f>
        <v>2.6</v>
      </c>
      <c r="G19" s="660">
        <f>ROUND(F19*1.7,1)</f>
        <v>4.4000000000000004</v>
      </c>
      <c r="H19" s="684" t="s">
        <v>1363</v>
      </c>
      <c r="I19" s="685">
        <f>ROUND(G19*2/3,1)</f>
        <v>2.9</v>
      </c>
      <c r="J19" s="686">
        <v>9</v>
      </c>
      <c r="K19" s="687"/>
      <c r="L19" s="688"/>
      <c r="M19" s="688"/>
      <c r="N19" s="688"/>
      <c r="O19" s="689"/>
      <c r="P19" s="688"/>
      <c r="Q19" s="688"/>
      <c r="R19" s="688"/>
      <c r="S19" s="690"/>
      <c r="T19" s="689"/>
      <c r="U19" s="688"/>
      <c r="V19" s="688"/>
      <c r="W19" s="688"/>
      <c r="X19" s="690"/>
      <c r="Y19" s="689"/>
      <c r="Z19" s="688"/>
      <c r="AA19" s="688"/>
      <c r="AB19" s="688"/>
      <c r="AC19" s="690"/>
      <c r="AD19" s="689"/>
      <c r="AE19" s="688"/>
      <c r="AF19" s="688"/>
      <c r="AG19" s="688"/>
      <c r="AH19" s="690"/>
      <c r="AI19" s="689"/>
      <c r="AJ19" s="688"/>
      <c r="AK19" s="688"/>
      <c r="AL19" s="688"/>
      <c r="AM19" s="690"/>
      <c r="AN19" s="689"/>
      <c r="AO19" s="688"/>
      <c r="AP19" s="688"/>
      <c r="AQ19" s="688"/>
      <c r="AR19" s="690"/>
      <c r="AS19" s="689"/>
      <c r="AT19" s="688"/>
      <c r="AU19" s="688"/>
      <c r="AV19" s="688"/>
      <c r="AW19" s="690"/>
      <c r="AX19" s="689"/>
      <c r="AY19" s="688"/>
      <c r="AZ19" s="688"/>
      <c r="BA19" s="688"/>
      <c r="BB19" s="690"/>
      <c r="BC19" s="689"/>
      <c r="BD19" s="688"/>
      <c r="BE19" s="688"/>
      <c r="BF19" s="688"/>
      <c r="BG19" s="690"/>
      <c r="BH19" s="689"/>
      <c r="BI19" s="688"/>
      <c r="BJ19" s="688"/>
      <c r="BK19" s="688"/>
      <c r="BL19" s="690"/>
      <c r="BM19" s="689"/>
      <c r="BN19" s="688"/>
      <c r="BO19" s="688"/>
      <c r="BP19" s="688"/>
      <c r="BQ19" s="690"/>
      <c r="BR19" s="689"/>
      <c r="BS19" s="691"/>
      <c r="BT19" s="688"/>
      <c r="BU19" s="688"/>
      <c r="BV19" s="690"/>
      <c r="BW19" s="689"/>
      <c r="BX19" s="688"/>
      <c r="BY19" s="688"/>
      <c r="BZ19" s="688"/>
      <c r="CA19" s="690"/>
      <c r="CB19" s="689"/>
      <c r="CC19" s="688"/>
      <c r="CD19" s="688"/>
      <c r="CE19" s="688"/>
      <c r="CF19" s="690"/>
      <c r="CG19" s="689"/>
      <c r="CH19" s="688"/>
      <c r="CI19" s="688"/>
      <c r="CJ19" s="688"/>
      <c r="CK19" s="690"/>
      <c r="CL19" s="689"/>
      <c r="CM19" s="688"/>
      <c r="CN19" s="688"/>
      <c r="CO19" s="688"/>
      <c r="CP19" s="690"/>
      <c r="CQ19" s="689"/>
      <c r="CR19" s="688"/>
      <c r="CS19" s="688"/>
      <c r="CT19" s="688"/>
      <c r="CU19" s="690"/>
      <c r="CV19" s="689"/>
      <c r="CW19" s="688"/>
      <c r="CX19" s="688"/>
      <c r="CY19" s="688"/>
      <c r="CZ19" s="690"/>
      <c r="DA19" s="689"/>
      <c r="DB19" s="688"/>
      <c r="DC19" s="688"/>
      <c r="DD19" s="688"/>
      <c r="DE19" s="690"/>
      <c r="DF19" s="689"/>
      <c r="DG19" s="688"/>
      <c r="DH19" s="688"/>
      <c r="DI19" s="688"/>
      <c r="DJ19" s="690"/>
      <c r="DK19" s="689"/>
      <c r="DL19" s="688"/>
      <c r="DM19" s="688"/>
      <c r="DN19" s="688"/>
      <c r="DO19" s="690"/>
      <c r="DP19" s="689"/>
      <c r="DQ19" s="688"/>
      <c r="DR19" s="688"/>
      <c r="DS19" s="688"/>
      <c r="DT19" s="690"/>
      <c r="DU19" s="689"/>
      <c r="DV19" s="688"/>
      <c r="DW19" s="688"/>
      <c r="DX19" s="688"/>
      <c r="DY19" s="690"/>
      <c r="DZ19" s="689"/>
      <c r="EA19" s="691"/>
      <c r="EB19" s="688"/>
      <c r="EC19" s="688"/>
      <c r="ED19" s="690"/>
      <c r="EE19" s="689"/>
      <c r="EF19" s="688"/>
      <c r="EG19" s="688"/>
      <c r="EH19" s="688"/>
      <c r="EI19" s="690"/>
      <c r="EJ19" s="689"/>
      <c r="EK19" s="688"/>
      <c r="EL19" s="688"/>
      <c r="EM19" s="688"/>
      <c r="EN19" s="690"/>
      <c r="EO19" s="689"/>
      <c r="EP19" s="688"/>
      <c r="EQ19" s="688"/>
      <c r="ER19" s="688"/>
      <c r="ES19" s="690"/>
      <c r="ET19" s="689"/>
      <c r="EU19" s="688"/>
      <c r="EV19" s="688"/>
      <c r="EW19" s="688"/>
      <c r="EX19" s="690"/>
      <c r="EY19" s="689"/>
      <c r="EZ19" s="688"/>
      <c r="FA19" s="688"/>
      <c r="FB19" s="688"/>
      <c r="FC19" s="690"/>
      <c r="FD19" s="689"/>
      <c r="FE19" s="688"/>
      <c r="FF19" s="688"/>
      <c r="FG19" s="688"/>
      <c r="FH19" s="690"/>
    </row>
    <row r="20" spans="2:164">
      <c r="B20" s="670"/>
      <c r="C20" s="671"/>
      <c r="D20" s="671"/>
      <c r="E20" s="671"/>
      <c r="F20" s="672"/>
      <c r="G20" s="672"/>
      <c r="H20" s="673" t="s">
        <v>1364</v>
      </c>
      <c r="I20" s="674">
        <f>ROUND(G19*1/3,1)</f>
        <v>1.5</v>
      </c>
      <c r="J20" s="675">
        <v>22</v>
      </c>
      <c r="K20" s="676"/>
      <c r="L20" s="677"/>
      <c r="M20" s="677"/>
      <c r="N20" s="677"/>
      <c r="O20" s="678"/>
      <c r="P20" s="677"/>
      <c r="Q20" s="677"/>
      <c r="R20" s="677"/>
      <c r="S20" s="679"/>
      <c r="T20" s="678"/>
      <c r="U20" s="677"/>
      <c r="V20" s="677"/>
      <c r="W20" s="677"/>
      <c r="X20" s="679"/>
      <c r="Y20" s="678"/>
      <c r="Z20" s="677"/>
      <c r="AA20" s="677"/>
      <c r="AB20" s="677"/>
      <c r="AC20" s="679"/>
      <c r="AD20" s="678"/>
      <c r="AE20" s="677"/>
      <c r="AF20" s="677"/>
      <c r="AG20" s="677"/>
      <c r="AH20" s="679"/>
      <c r="AI20" s="678"/>
      <c r="AJ20" s="677"/>
      <c r="AK20" s="677"/>
      <c r="AL20" s="677"/>
      <c r="AM20" s="679"/>
      <c r="AN20" s="678"/>
      <c r="AO20" s="677"/>
      <c r="AP20" s="677"/>
      <c r="AQ20" s="677"/>
      <c r="AR20" s="679"/>
      <c r="AS20" s="678"/>
      <c r="AT20" s="677"/>
      <c r="AU20" s="677"/>
      <c r="AV20" s="677"/>
      <c r="AW20" s="679"/>
      <c r="AX20" s="678"/>
      <c r="AY20" s="677"/>
      <c r="AZ20" s="677"/>
      <c r="BA20" s="677"/>
      <c r="BB20" s="679"/>
      <c r="BC20" s="678"/>
      <c r="BD20" s="677"/>
      <c r="BE20" s="677"/>
      <c r="BF20" s="677"/>
      <c r="BG20" s="679"/>
      <c r="BH20" s="678"/>
      <c r="BI20" s="677"/>
      <c r="BJ20" s="677"/>
      <c r="BK20" s="677"/>
      <c r="BL20" s="679"/>
      <c r="BM20" s="678"/>
      <c r="BN20" s="677"/>
      <c r="BO20" s="677"/>
      <c r="BP20" s="677"/>
      <c r="BQ20" s="679"/>
      <c r="BR20" s="678"/>
      <c r="BS20" s="677"/>
      <c r="BT20" s="677"/>
      <c r="BU20" s="677"/>
      <c r="BV20" s="679"/>
      <c r="BW20" s="678"/>
      <c r="BX20" s="677"/>
      <c r="BY20" s="677"/>
      <c r="BZ20" s="677"/>
      <c r="CA20" s="679"/>
      <c r="CB20" s="678"/>
      <c r="CC20" s="677"/>
      <c r="CD20" s="677"/>
      <c r="CE20" s="677"/>
      <c r="CF20" s="679"/>
      <c r="CG20" s="678"/>
      <c r="CH20" s="677"/>
      <c r="CI20" s="677"/>
      <c r="CJ20" s="677"/>
      <c r="CK20" s="679"/>
      <c r="CL20" s="678"/>
      <c r="CM20" s="677"/>
      <c r="CN20" s="677"/>
      <c r="CO20" s="677"/>
      <c r="CP20" s="679"/>
      <c r="CQ20" s="678"/>
      <c r="CR20" s="677"/>
      <c r="CS20" s="677"/>
      <c r="CT20" s="677"/>
      <c r="CU20" s="679"/>
      <c r="CV20" s="678"/>
      <c r="CW20" s="677"/>
      <c r="CX20" s="677"/>
      <c r="CY20" s="677"/>
      <c r="CZ20" s="679"/>
      <c r="DA20" s="678"/>
      <c r="DB20" s="677"/>
      <c r="DC20" s="677"/>
      <c r="DD20" s="677"/>
      <c r="DE20" s="679"/>
      <c r="DF20" s="678"/>
      <c r="DG20" s="677"/>
      <c r="DH20" s="677"/>
      <c r="DI20" s="677"/>
      <c r="DJ20" s="679"/>
      <c r="DK20" s="678"/>
      <c r="DL20" s="677"/>
      <c r="DM20" s="677"/>
      <c r="DN20" s="677"/>
      <c r="DO20" s="679"/>
      <c r="DP20" s="678"/>
      <c r="DQ20" s="677"/>
      <c r="DR20" s="677"/>
      <c r="DS20" s="677"/>
      <c r="DT20" s="679"/>
      <c r="DU20" s="678"/>
      <c r="DV20" s="677"/>
      <c r="DW20" s="677"/>
      <c r="DX20" s="677"/>
      <c r="DY20" s="679"/>
      <c r="DZ20" s="678"/>
      <c r="EA20" s="677"/>
      <c r="EB20" s="677"/>
      <c r="EC20" s="677"/>
      <c r="ED20" s="679"/>
      <c r="EE20" s="678"/>
      <c r="EF20" s="677"/>
      <c r="EG20" s="677"/>
      <c r="EH20" s="677"/>
      <c r="EI20" s="679"/>
      <c r="EJ20" s="678"/>
      <c r="EK20" s="677"/>
      <c r="EL20" s="677"/>
      <c r="EM20" s="677"/>
      <c r="EN20" s="679"/>
      <c r="EO20" s="678"/>
      <c r="EP20" s="677"/>
      <c r="EQ20" s="677"/>
      <c r="ER20" s="677"/>
      <c r="ES20" s="679"/>
      <c r="ET20" s="678"/>
      <c r="EU20" s="677"/>
      <c r="EV20" s="677"/>
      <c r="EW20" s="677"/>
      <c r="EX20" s="679"/>
      <c r="EY20" s="678"/>
      <c r="EZ20" s="677"/>
      <c r="FA20" s="677"/>
      <c r="FB20" s="677"/>
      <c r="FC20" s="679"/>
      <c r="FD20" s="678"/>
      <c r="FE20" s="677"/>
      <c r="FF20" s="677"/>
      <c r="FG20" s="677"/>
      <c r="FH20" s="679"/>
    </row>
    <row r="21" spans="2:164" ht="14.25" thickBot="1">
      <c r="B21" s="658" t="s">
        <v>959</v>
      </c>
      <c r="C21" s="659"/>
      <c r="D21" s="659"/>
      <c r="E21" s="694"/>
      <c r="F21" s="660">
        <f>'[1]基本 (1)'!N81</f>
        <v>4.4000000000000004</v>
      </c>
      <c r="G21" s="660">
        <f>ROUND(F21*1.7,1)</f>
        <v>7.5</v>
      </c>
      <c r="H21" s="684" t="s">
        <v>1363</v>
      </c>
      <c r="I21" s="685">
        <f>ROUND(G21*2/3,1)</f>
        <v>5</v>
      </c>
      <c r="J21" s="686">
        <v>8</v>
      </c>
      <c r="K21" s="687"/>
      <c r="L21" s="688"/>
      <c r="M21" s="688"/>
      <c r="N21" s="688"/>
      <c r="O21" s="689"/>
      <c r="P21" s="688"/>
      <c r="Q21" s="688"/>
      <c r="R21" s="688"/>
      <c r="S21" s="690"/>
      <c r="T21" s="689"/>
      <c r="U21" s="688"/>
      <c r="V21" s="688"/>
      <c r="W21" s="688"/>
      <c r="X21" s="690"/>
      <c r="Y21" s="689"/>
      <c r="Z21" s="688"/>
      <c r="AA21" s="688"/>
      <c r="AB21" s="688"/>
      <c r="AC21" s="690"/>
      <c r="AD21" s="689"/>
      <c r="AE21" s="688"/>
      <c r="AF21" s="688"/>
      <c r="AG21" s="688"/>
      <c r="AH21" s="690"/>
      <c r="AI21" s="689"/>
      <c r="AJ21" s="688"/>
      <c r="AK21" s="688"/>
      <c r="AL21" s="688"/>
      <c r="AM21" s="690"/>
      <c r="AN21" s="689"/>
      <c r="AO21" s="688"/>
      <c r="AP21" s="688"/>
      <c r="AQ21" s="688"/>
      <c r="AR21" s="690"/>
      <c r="AS21" s="689"/>
      <c r="AT21" s="688"/>
      <c r="AU21" s="688"/>
      <c r="AV21" s="688"/>
      <c r="AW21" s="690"/>
      <c r="AX21" s="689"/>
      <c r="AY21" s="688"/>
      <c r="AZ21" s="688"/>
      <c r="BA21" s="688"/>
      <c r="BB21" s="690"/>
      <c r="BC21" s="689"/>
      <c r="BD21" s="688"/>
      <c r="BE21" s="688"/>
      <c r="BF21" s="688"/>
      <c r="BG21" s="690"/>
      <c r="BH21" s="689"/>
      <c r="BI21" s="688"/>
      <c r="BJ21" s="688"/>
      <c r="BK21" s="688"/>
      <c r="BL21" s="690"/>
      <c r="BM21" s="689"/>
      <c r="BN21" s="688"/>
      <c r="BO21" s="688"/>
      <c r="BP21" s="691"/>
      <c r="BQ21" s="692"/>
      <c r="BR21" s="693"/>
      <c r="BS21" s="688"/>
      <c r="BT21" s="688"/>
      <c r="BU21" s="688"/>
      <c r="BV21" s="690"/>
      <c r="BW21" s="689"/>
      <c r="BX21" s="688"/>
      <c r="BY21" s="688"/>
      <c r="BZ21" s="688"/>
      <c r="CA21" s="690"/>
      <c r="CB21" s="689"/>
      <c r="CC21" s="688"/>
      <c r="CD21" s="688"/>
      <c r="CE21" s="688"/>
      <c r="CF21" s="690"/>
      <c r="CG21" s="689"/>
      <c r="CH21" s="688"/>
      <c r="CI21" s="688"/>
      <c r="CJ21" s="688"/>
      <c r="CK21" s="690"/>
      <c r="CL21" s="689"/>
      <c r="CM21" s="688"/>
      <c r="CN21" s="688"/>
      <c r="CO21" s="688"/>
      <c r="CP21" s="690"/>
      <c r="CQ21" s="689"/>
      <c r="CR21" s="688"/>
      <c r="CS21" s="688"/>
      <c r="CT21" s="688"/>
      <c r="CU21" s="690"/>
      <c r="CV21" s="689"/>
      <c r="CW21" s="688"/>
      <c r="CX21" s="688"/>
      <c r="CY21" s="688"/>
      <c r="CZ21" s="690"/>
      <c r="DA21" s="689"/>
      <c r="DB21" s="688"/>
      <c r="DC21" s="688"/>
      <c r="DD21" s="688"/>
      <c r="DE21" s="690"/>
      <c r="DF21" s="689"/>
      <c r="DG21" s="688"/>
      <c r="DH21" s="688"/>
      <c r="DI21" s="688"/>
      <c r="DJ21" s="690"/>
      <c r="DK21" s="689"/>
      <c r="DL21" s="688"/>
      <c r="DM21" s="688"/>
      <c r="DN21" s="688"/>
      <c r="DO21" s="690"/>
      <c r="DP21" s="689"/>
      <c r="DQ21" s="688"/>
      <c r="DR21" s="688"/>
      <c r="DS21" s="688"/>
      <c r="DT21" s="690"/>
      <c r="DU21" s="689"/>
      <c r="DV21" s="688"/>
      <c r="DW21" s="688"/>
      <c r="DX21" s="688"/>
      <c r="DY21" s="690"/>
      <c r="DZ21" s="689"/>
      <c r="EA21" s="688"/>
      <c r="EB21" s="691"/>
      <c r="EC21" s="688"/>
      <c r="ED21" s="690"/>
      <c r="EE21" s="689"/>
      <c r="EF21" s="688"/>
      <c r="EG21" s="688"/>
      <c r="EH21" s="688"/>
      <c r="EI21" s="690"/>
      <c r="EJ21" s="689"/>
      <c r="EK21" s="688"/>
      <c r="EL21" s="688"/>
      <c r="EM21" s="688"/>
      <c r="EN21" s="690"/>
      <c r="EO21" s="689"/>
      <c r="EP21" s="688"/>
      <c r="EQ21" s="688"/>
      <c r="ER21" s="688"/>
      <c r="ES21" s="690"/>
      <c r="ET21" s="689"/>
      <c r="EU21" s="688"/>
      <c r="EV21" s="688"/>
      <c r="EW21" s="688"/>
      <c r="EX21" s="690"/>
      <c r="EY21" s="689"/>
      <c r="EZ21" s="688"/>
      <c r="FA21" s="688"/>
      <c r="FB21" s="688"/>
      <c r="FC21" s="690"/>
      <c r="FD21" s="689"/>
      <c r="FE21" s="688"/>
      <c r="FF21" s="688"/>
      <c r="FG21" s="688"/>
      <c r="FH21" s="690"/>
    </row>
    <row r="22" spans="2:164">
      <c r="B22" s="670"/>
      <c r="C22" s="671"/>
      <c r="D22" s="671"/>
      <c r="E22" s="695"/>
      <c r="F22" s="672"/>
      <c r="G22" s="672"/>
      <c r="H22" s="673" t="s">
        <v>1364</v>
      </c>
      <c r="I22" s="674">
        <f>ROUND(G21*1/3,1)</f>
        <v>2.5</v>
      </c>
      <c r="J22" s="675">
        <v>23</v>
      </c>
      <c r="K22" s="676"/>
      <c r="L22" s="677"/>
      <c r="M22" s="677"/>
      <c r="N22" s="677"/>
      <c r="O22" s="678"/>
      <c r="P22" s="677"/>
      <c r="Q22" s="677"/>
      <c r="R22" s="677"/>
      <c r="S22" s="679"/>
      <c r="T22" s="678"/>
      <c r="U22" s="677"/>
      <c r="V22" s="677"/>
      <c r="W22" s="677"/>
      <c r="X22" s="679"/>
      <c r="Y22" s="678"/>
      <c r="Z22" s="677"/>
      <c r="AA22" s="677"/>
      <c r="AB22" s="677"/>
      <c r="AC22" s="679"/>
      <c r="AD22" s="678"/>
      <c r="AE22" s="677"/>
      <c r="AF22" s="677"/>
      <c r="AG22" s="677"/>
      <c r="AH22" s="679"/>
      <c r="AI22" s="678"/>
      <c r="AJ22" s="677"/>
      <c r="AK22" s="677"/>
      <c r="AL22" s="677"/>
      <c r="AM22" s="679"/>
      <c r="AN22" s="678"/>
      <c r="AO22" s="677"/>
      <c r="AP22" s="677"/>
      <c r="AQ22" s="677"/>
      <c r="AR22" s="679"/>
      <c r="AS22" s="678"/>
      <c r="AT22" s="677"/>
      <c r="AU22" s="677"/>
      <c r="AV22" s="677"/>
      <c r="AW22" s="679"/>
      <c r="AX22" s="678"/>
      <c r="AY22" s="677"/>
      <c r="AZ22" s="677"/>
      <c r="BA22" s="677"/>
      <c r="BB22" s="679"/>
      <c r="BC22" s="678"/>
      <c r="BD22" s="677"/>
      <c r="BE22" s="677"/>
      <c r="BF22" s="677"/>
      <c r="BG22" s="679"/>
      <c r="BH22" s="678"/>
      <c r="BI22" s="677"/>
      <c r="BJ22" s="677"/>
      <c r="BK22" s="677"/>
      <c r="BL22" s="679"/>
      <c r="BM22" s="678"/>
      <c r="BN22" s="677"/>
      <c r="BO22" s="677"/>
      <c r="BP22" s="677"/>
      <c r="BQ22" s="679"/>
      <c r="BR22" s="678"/>
      <c r="BS22" s="677"/>
      <c r="BT22" s="677"/>
      <c r="BU22" s="677"/>
      <c r="BV22" s="679"/>
      <c r="BW22" s="678"/>
      <c r="BX22" s="677"/>
      <c r="BY22" s="677"/>
      <c r="BZ22" s="677"/>
      <c r="CA22" s="679"/>
      <c r="CB22" s="678"/>
      <c r="CC22" s="677"/>
      <c r="CD22" s="677"/>
      <c r="CE22" s="677"/>
      <c r="CF22" s="679"/>
      <c r="CG22" s="678"/>
      <c r="CH22" s="677"/>
      <c r="CI22" s="677"/>
      <c r="CJ22" s="677"/>
      <c r="CK22" s="679"/>
      <c r="CL22" s="678"/>
      <c r="CM22" s="677"/>
      <c r="CN22" s="677"/>
      <c r="CO22" s="677"/>
      <c r="CP22" s="679"/>
      <c r="CQ22" s="678"/>
      <c r="CR22" s="677"/>
      <c r="CS22" s="677"/>
      <c r="CT22" s="677"/>
      <c r="CU22" s="679"/>
      <c r="CV22" s="678"/>
      <c r="CW22" s="677"/>
      <c r="CX22" s="677"/>
      <c r="CY22" s="677"/>
      <c r="CZ22" s="679"/>
      <c r="DA22" s="678"/>
      <c r="DB22" s="677"/>
      <c r="DC22" s="677"/>
      <c r="DD22" s="677"/>
      <c r="DE22" s="679"/>
      <c r="DF22" s="678"/>
      <c r="DG22" s="677"/>
      <c r="DH22" s="677"/>
      <c r="DI22" s="677"/>
      <c r="DJ22" s="679"/>
      <c r="DK22" s="678"/>
      <c r="DL22" s="677"/>
      <c r="DM22" s="677"/>
      <c r="DN22" s="677"/>
      <c r="DO22" s="679"/>
      <c r="DP22" s="678"/>
      <c r="DQ22" s="677"/>
      <c r="DR22" s="677"/>
      <c r="DS22" s="677"/>
      <c r="DT22" s="679"/>
      <c r="DU22" s="678"/>
      <c r="DV22" s="677"/>
      <c r="DW22" s="677"/>
      <c r="DX22" s="677"/>
      <c r="DY22" s="679"/>
      <c r="DZ22" s="678"/>
      <c r="EA22" s="677"/>
      <c r="EB22" s="677"/>
      <c r="EC22" s="677"/>
      <c r="ED22" s="679"/>
      <c r="EE22" s="678"/>
      <c r="EF22" s="677"/>
      <c r="EG22" s="677"/>
      <c r="EH22" s="677"/>
      <c r="EI22" s="679"/>
      <c r="EJ22" s="678"/>
      <c r="EK22" s="677"/>
      <c r="EL22" s="677"/>
      <c r="EM22" s="677"/>
      <c r="EN22" s="679"/>
      <c r="EO22" s="678"/>
      <c r="EP22" s="677"/>
      <c r="EQ22" s="677"/>
      <c r="ER22" s="677"/>
      <c r="ES22" s="679"/>
      <c r="ET22" s="678"/>
      <c r="EU22" s="677"/>
      <c r="EV22" s="677"/>
      <c r="EW22" s="677"/>
      <c r="EX22" s="679"/>
      <c r="EY22" s="678"/>
      <c r="EZ22" s="677"/>
      <c r="FA22" s="677"/>
      <c r="FB22" s="677"/>
      <c r="FC22" s="679"/>
      <c r="FD22" s="678"/>
      <c r="FE22" s="677"/>
      <c r="FF22" s="677"/>
      <c r="FG22" s="677"/>
      <c r="FH22" s="679"/>
    </row>
    <row r="23" spans="2:164" hidden="1">
      <c r="B23" s="658" t="s">
        <v>963</v>
      </c>
      <c r="C23" s="659"/>
      <c r="D23" s="659"/>
      <c r="E23" s="694"/>
      <c r="F23" s="660">
        <f>'[1]基本 (1)'!N83</f>
        <v>0</v>
      </c>
      <c r="G23" s="660">
        <f>ROUND(F23*1.7,1)</f>
        <v>0</v>
      </c>
      <c r="H23" s="684" t="s">
        <v>1363</v>
      </c>
      <c r="I23" s="685">
        <f>ROUND(G23*2/3,1)</f>
        <v>0</v>
      </c>
      <c r="J23" s="686"/>
      <c r="K23" s="687"/>
      <c r="L23" s="688"/>
      <c r="M23" s="688"/>
      <c r="N23" s="688"/>
      <c r="O23" s="689"/>
      <c r="P23" s="688"/>
      <c r="Q23" s="688"/>
      <c r="R23" s="688"/>
      <c r="S23" s="690"/>
      <c r="T23" s="689"/>
      <c r="U23" s="688"/>
      <c r="V23" s="688"/>
      <c r="W23" s="688"/>
      <c r="X23" s="690"/>
      <c r="Y23" s="689"/>
      <c r="Z23" s="688"/>
      <c r="AA23" s="688"/>
      <c r="AB23" s="688"/>
      <c r="AC23" s="690"/>
      <c r="AD23" s="689"/>
      <c r="AE23" s="688"/>
      <c r="AF23" s="688"/>
      <c r="AG23" s="688"/>
      <c r="AH23" s="690"/>
      <c r="AI23" s="689"/>
      <c r="AJ23" s="688"/>
      <c r="AK23" s="688"/>
      <c r="AL23" s="688"/>
      <c r="AM23" s="690"/>
      <c r="AN23" s="689"/>
      <c r="AO23" s="688"/>
      <c r="AP23" s="688"/>
      <c r="AQ23" s="688"/>
      <c r="AR23" s="690"/>
      <c r="AS23" s="689"/>
      <c r="AT23" s="688"/>
      <c r="AU23" s="688"/>
      <c r="AV23" s="688"/>
      <c r="AW23" s="690"/>
      <c r="AX23" s="689"/>
      <c r="AY23" s="688"/>
      <c r="AZ23" s="688"/>
      <c r="BA23" s="688"/>
      <c r="BB23" s="690"/>
      <c r="BC23" s="689"/>
      <c r="BD23" s="688"/>
      <c r="BE23" s="688"/>
      <c r="BF23" s="688"/>
      <c r="BG23" s="690"/>
      <c r="BH23" s="689"/>
      <c r="BI23" s="688"/>
      <c r="BJ23" s="688"/>
      <c r="BK23" s="688"/>
      <c r="BL23" s="690"/>
      <c r="BM23" s="689"/>
      <c r="BN23" s="688"/>
      <c r="BO23" s="688"/>
      <c r="BP23" s="688"/>
      <c r="BQ23" s="690"/>
      <c r="BR23" s="689"/>
      <c r="BS23" s="688"/>
      <c r="BT23" s="688"/>
      <c r="BU23" s="688"/>
      <c r="BV23" s="690"/>
      <c r="BW23" s="689"/>
      <c r="BX23" s="688"/>
      <c r="BY23" s="688"/>
      <c r="BZ23" s="688"/>
      <c r="CA23" s="690"/>
      <c r="CB23" s="689"/>
      <c r="CC23" s="688"/>
      <c r="CD23" s="688"/>
      <c r="CE23" s="688"/>
      <c r="CF23" s="690"/>
      <c r="CG23" s="689"/>
      <c r="CH23" s="688"/>
      <c r="CI23" s="688"/>
      <c r="CJ23" s="688"/>
      <c r="CK23" s="690"/>
      <c r="CL23" s="689"/>
      <c r="CM23" s="688"/>
      <c r="CN23" s="688"/>
      <c r="CO23" s="688"/>
      <c r="CP23" s="690"/>
      <c r="CQ23" s="689"/>
      <c r="CR23" s="688"/>
      <c r="CS23" s="688"/>
      <c r="CT23" s="688"/>
      <c r="CU23" s="690"/>
      <c r="CV23" s="689"/>
      <c r="CW23" s="688"/>
      <c r="CX23" s="688"/>
      <c r="CY23" s="688"/>
      <c r="CZ23" s="690"/>
      <c r="DA23" s="689"/>
      <c r="DB23" s="688"/>
      <c r="DC23" s="688"/>
      <c r="DD23" s="688"/>
      <c r="DE23" s="690"/>
      <c r="DF23" s="689"/>
      <c r="DG23" s="688"/>
      <c r="DH23" s="688"/>
      <c r="DI23" s="688"/>
      <c r="DJ23" s="690"/>
      <c r="DK23" s="689"/>
      <c r="DL23" s="688"/>
      <c r="DM23" s="688"/>
      <c r="DN23" s="688"/>
      <c r="DO23" s="690"/>
      <c r="DP23" s="689"/>
      <c r="DQ23" s="688"/>
      <c r="DR23" s="688"/>
      <c r="DS23" s="688"/>
      <c r="DT23" s="690"/>
      <c r="DU23" s="689"/>
      <c r="DV23" s="688"/>
      <c r="DW23" s="688"/>
      <c r="DX23" s="688"/>
      <c r="DY23" s="690"/>
      <c r="DZ23" s="689"/>
      <c r="EA23" s="688"/>
      <c r="EB23" s="688"/>
      <c r="EC23" s="688"/>
      <c r="ED23" s="690"/>
      <c r="EE23" s="689"/>
      <c r="EF23" s="688"/>
      <c r="EG23" s="688"/>
      <c r="EH23" s="688"/>
      <c r="EI23" s="690"/>
      <c r="EJ23" s="689"/>
      <c r="EK23" s="688"/>
      <c r="EL23" s="688"/>
      <c r="EM23" s="688"/>
      <c r="EN23" s="690"/>
      <c r="EO23" s="689"/>
      <c r="EP23" s="688"/>
      <c r="EQ23" s="688"/>
      <c r="ER23" s="688"/>
      <c r="ES23" s="690"/>
      <c r="ET23" s="689"/>
      <c r="EU23" s="688"/>
      <c r="EV23" s="688"/>
      <c r="EW23" s="688"/>
      <c r="EX23" s="690"/>
      <c r="EY23" s="689"/>
      <c r="EZ23" s="688"/>
      <c r="FA23" s="688"/>
      <c r="FB23" s="688"/>
      <c r="FC23" s="690"/>
      <c r="FD23" s="689"/>
      <c r="FE23" s="688"/>
      <c r="FF23" s="688"/>
      <c r="FG23" s="688"/>
      <c r="FH23" s="690"/>
    </row>
    <row r="24" spans="2:164" hidden="1">
      <c r="B24" s="670"/>
      <c r="C24" s="671"/>
      <c r="D24" s="671"/>
      <c r="E24" s="695"/>
      <c r="F24" s="672"/>
      <c r="G24" s="672"/>
      <c r="H24" s="673" t="s">
        <v>1364</v>
      </c>
      <c r="I24" s="674">
        <f>ROUND(G23*1/3,1)</f>
        <v>0</v>
      </c>
      <c r="J24" s="675"/>
      <c r="K24" s="676"/>
      <c r="L24" s="677"/>
      <c r="M24" s="677"/>
      <c r="N24" s="677"/>
      <c r="O24" s="678"/>
      <c r="P24" s="677"/>
      <c r="Q24" s="677"/>
      <c r="R24" s="677"/>
      <c r="S24" s="679"/>
      <c r="T24" s="678"/>
      <c r="U24" s="677"/>
      <c r="V24" s="677"/>
      <c r="W24" s="677"/>
      <c r="X24" s="679"/>
      <c r="Y24" s="678"/>
      <c r="Z24" s="677"/>
      <c r="AA24" s="677"/>
      <c r="AB24" s="677"/>
      <c r="AC24" s="679"/>
      <c r="AD24" s="678"/>
      <c r="AE24" s="677"/>
      <c r="AF24" s="677"/>
      <c r="AG24" s="677"/>
      <c r="AH24" s="679"/>
      <c r="AI24" s="678"/>
      <c r="AJ24" s="677"/>
      <c r="AK24" s="677"/>
      <c r="AL24" s="677"/>
      <c r="AM24" s="679"/>
      <c r="AN24" s="678"/>
      <c r="AO24" s="677"/>
      <c r="AP24" s="677"/>
      <c r="AQ24" s="677"/>
      <c r="AR24" s="679"/>
      <c r="AS24" s="678"/>
      <c r="AT24" s="677"/>
      <c r="AU24" s="677"/>
      <c r="AV24" s="677"/>
      <c r="AW24" s="679"/>
      <c r="AX24" s="678"/>
      <c r="AY24" s="677"/>
      <c r="AZ24" s="677"/>
      <c r="BA24" s="677"/>
      <c r="BB24" s="679"/>
      <c r="BC24" s="678"/>
      <c r="BD24" s="677"/>
      <c r="BE24" s="677"/>
      <c r="BF24" s="677"/>
      <c r="BG24" s="679"/>
      <c r="BH24" s="678"/>
      <c r="BI24" s="677"/>
      <c r="BJ24" s="677"/>
      <c r="BK24" s="677"/>
      <c r="BL24" s="679"/>
      <c r="BM24" s="678"/>
      <c r="BN24" s="677"/>
      <c r="BO24" s="677"/>
      <c r="BP24" s="677"/>
      <c r="BQ24" s="679"/>
      <c r="BR24" s="678"/>
      <c r="BS24" s="677"/>
      <c r="BT24" s="677"/>
      <c r="BU24" s="677"/>
      <c r="BV24" s="679"/>
      <c r="BW24" s="678"/>
      <c r="BX24" s="677"/>
      <c r="BY24" s="677"/>
      <c r="BZ24" s="677"/>
      <c r="CA24" s="679"/>
      <c r="CB24" s="678"/>
      <c r="CC24" s="677"/>
      <c r="CD24" s="677"/>
      <c r="CE24" s="677"/>
      <c r="CF24" s="679"/>
      <c r="CG24" s="678"/>
      <c r="CH24" s="677"/>
      <c r="CI24" s="677"/>
      <c r="CJ24" s="677"/>
      <c r="CK24" s="679"/>
      <c r="CL24" s="678"/>
      <c r="CM24" s="677"/>
      <c r="CN24" s="677"/>
      <c r="CO24" s="677"/>
      <c r="CP24" s="679"/>
      <c r="CQ24" s="678"/>
      <c r="CR24" s="677"/>
      <c r="CS24" s="677"/>
      <c r="CT24" s="677"/>
      <c r="CU24" s="679"/>
      <c r="CV24" s="678"/>
      <c r="CW24" s="677"/>
      <c r="CX24" s="677"/>
      <c r="CY24" s="677"/>
      <c r="CZ24" s="679"/>
      <c r="DA24" s="678"/>
      <c r="DB24" s="677"/>
      <c r="DC24" s="677"/>
      <c r="DD24" s="677"/>
      <c r="DE24" s="679"/>
      <c r="DF24" s="678"/>
      <c r="DG24" s="677"/>
      <c r="DH24" s="677"/>
      <c r="DI24" s="677"/>
      <c r="DJ24" s="679"/>
      <c r="DK24" s="678"/>
      <c r="DL24" s="677"/>
      <c r="DM24" s="677"/>
      <c r="DN24" s="677"/>
      <c r="DO24" s="679"/>
      <c r="DP24" s="678"/>
      <c r="DQ24" s="677"/>
      <c r="DR24" s="677"/>
      <c r="DS24" s="677"/>
      <c r="DT24" s="679"/>
      <c r="DU24" s="678"/>
      <c r="DV24" s="677"/>
      <c r="DW24" s="677"/>
      <c r="DX24" s="677"/>
      <c r="DY24" s="679"/>
      <c r="DZ24" s="678"/>
      <c r="EA24" s="677"/>
      <c r="EB24" s="677"/>
      <c r="EC24" s="677"/>
      <c r="ED24" s="679"/>
      <c r="EE24" s="678"/>
      <c r="EF24" s="677"/>
      <c r="EG24" s="677"/>
      <c r="EH24" s="677"/>
      <c r="EI24" s="679"/>
      <c r="EJ24" s="678"/>
      <c r="EK24" s="677"/>
      <c r="EL24" s="677"/>
      <c r="EM24" s="677"/>
      <c r="EN24" s="679"/>
      <c r="EO24" s="678"/>
      <c r="EP24" s="677"/>
      <c r="EQ24" s="677"/>
      <c r="ER24" s="677"/>
      <c r="ES24" s="679"/>
      <c r="ET24" s="678"/>
      <c r="EU24" s="677"/>
      <c r="EV24" s="677"/>
      <c r="EW24" s="677"/>
      <c r="EX24" s="679"/>
      <c r="EY24" s="678"/>
      <c r="EZ24" s="677"/>
      <c r="FA24" s="677"/>
      <c r="FB24" s="677"/>
      <c r="FC24" s="679"/>
      <c r="FD24" s="678"/>
      <c r="FE24" s="677"/>
      <c r="FF24" s="677"/>
      <c r="FG24" s="677"/>
      <c r="FH24" s="679"/>
    </row>
    <row r="25" spans="2:164" ht="14.25" thickBot="1">
      <c r="B25" s="658" t="s">
        <v>1366</v>
      </c>
      <c r="C25" s="659"/>
      <c r="D25" s="659"/>
      <c r="E25" s="694"/>
      <c r="F25" s="660">
        <f>'[1]基本 (1)'!N84</f>
        <v>3.3</v>
      </c>
      <c r="G25" s="660">
        <f>ROUND(F25*1.7,1)</f>
        <v>5.6</v>
      </c>
      <c r="H25" s="684" t="s">
        <v>1363</v>
      </c>
      <c r="I25" s="685">
        <f>ROUND(G25*2/3,1)</f>
        <v>3.7</v>
      </c>
      <c r="J25" s="686">
        <v>6</v>
      </c>
      <c r="K25" s="687"/>
      <c r="L25" s="688"/>
      <c r="M25" s="688"/>
      <c r="N25" s="688"/>
      <c r="O25" s="689"/>
      <c r="P25" s="688"/>
      <c r="Q25" s="688"/>
      <c r="R25" s="688"/>
      <c r="S25" s="690"/>
      <c r="T25" s="689"/>
      <c r="U25" s="688"/>
      <c r="V25" s="688"/>
      <c r="W25" s="688"/>
      <c r="X25" s="690"/>
      <c r="Y25" s="689"/>
      <c r="Z25" s="688"/>
      <c r="AA25" s="688"/>
      <c r="AB25" s="688"/>
      <c r="AC25" s="690"/>
      <c r="AD25" s="689"/>
      <c r="AE25" s="688"/>
      <c r="AF25" s="688"/>
      <c r="AG25" s="688"/>
      <c r="AH25" s="690"/>
      <c r="AI25" s="689"/>
      <c r="AJ25" s="688"/>
      <c r="AK25" s="688"/>
      <c r="AL25" s="688"/>
      <c r="AM25" s="690"/>
      <c r="AN25" s="689"/>
      <c r="AO25" s="688"/>
      <c r="AP25" s="688"/>
      <c r="AQ25" s="688"/>
      <c r="AR25" s="690"/>
      <c r="AS25" s="689"/>
      <c r="AT25" s="688"/>
      <c r="AU25" s="688"/>
      <c r="AV25" s="688"/>
      <c r="AW25" s="690"/>
      <c r="AX25" s="689"/>
      <c r="AY25" s="688"/>
      <c r="AZ25" s="688"/>
      <c r="BA25" s="688"/>
      <c r="BB25" s="690"/>
      <c r="BC25" s="689"/>
      <c r="BD25" s="688"/>
      <c r="BE25" s="688"/>
      <c r="BF25" s="688"/>
      <c r="BG25" s="690"/>
      <c r="BH25" s="689"/>
      <c r="BI25" s="688"/>
      <c r="BJ25" s="688"/>
      <c r="BK25" s="691"/>
      <c r="BL25" s="692"/>
      <c r="BM25" s="689"/>
      <c r="BN25" s="688"/>
      <c r="BO25" s="688"/>
      <c r="BP25" s="688"/>
      <c r="BQ25" s="690"/>
      <c r="BR25" s="689"/>
      <c r="BS25" s="688"/>
      <c r="BT25" s="688"/>
      <c r="BU25" s="688"/>
      <c r="BV25" s="690"/>
      <c r="BW25" s="689"/>
      <c r="BX25" s="688"/>
      <c r="BY25" s="688"/>
      <c r="BZ25" s="688"/>
      <c r="CA25" s="690"/>
      <c r="CB25" s="689"/>
      <c r="CC25" s="688"/>
      <c r="CD25" s="688"/>
      <c r="CE25" s="688"/>
      <c r="CF25" s="690"/>
      <c r="CG25" s="689"/>
      <c r="CH25" s="688"/>
      <c r="CI25" s="688"/>
      <c r="CJ25" s="688"/>
      <c r="CK25" s="690"/>
      <c r="CL25" s="689"/>
      <c r="CM25" s="688"/>
      <c r="CN25" s="688"/>
      <c r="CO25" s="688"/>
      <c r="CP25" s="690"/>
      <c r="CQ25" s="689"/>
      <c r="CR25" s="688"/>
      <c r="CS25" s="688"/>
      <c r="CT25" s="688"/>
      <c r="CU25" s="690"/>
      <c r="CV25" s="689"/>
      <c r="CW25" s="688"/>
      <c r="CX25" s="688"/>
      <c r="CY25" s="688"/>
      <c r="CZ25" s="690"/>
      <c r="DA25" s="689"/>
      <c r="DB25" s="688"/>
      <c r="DC25" s="688"/>
      <c r="DD25" s="688"/>
      <c r="DE25" s="690"/>
      <c r="DF25" s="689"/>
      <c r="DG25" s="688"/>
      <c r="DH25" s="688"/>
      <c r="DI25" s="688"/>
      <c r="DJ25" s="690"/>
      <c r="DK25" s="689"/>
      <c r="DL25" s="688"/>
      <c r="DM25" s="688"/>
      <c r="DN25" s="688"/>
      <c r="DO25" s="690"/>
      <c r="DP25" s="689"/>
      <c r="DQ25" s="688"/>
      <c r="DR25" s="688"/>
      <c r="DS25" s="688"/>
      <c r="DT25" s="690"/>
      <c r="DU25" s="689"/>
      <c r="DV25" s="688"/>
      <c r="DW25" s="688"/>
      <c r="DX25" s="688"/>
      <c r="DY25" s="690"/>
      <c r="DZ25" s="689"/>
      <c r="EA25" s="688"/>
      <c r="EB25" s="688"/>
      <c r="EC25" s="691"/>
      <c r="ED25" s="690"/>
      <c r="EE25" s="689"/>
      <c r="EF25" s="688"/>
      <c r="EG25" s="688"/>
      <c r="EH25" s="688"/>
      <c r="EI25" s="690"/>
      <c r="EJ25" s="689"/>
      <c r="EK25" s="688"/>
      <c r="EL25" s="688"/>
      <c r="EM25" s="688"/>
      <c r="EN25" s="690"/>
      <c r="EO25" s="689"/>
      <c r="EP25" s="688"/>
      <c r="EQ25" s="688"/>
      <c r="ER25" s="688"/>
      <c r="ES25" s="690"/>
      <c r="ET25" s="689"/>
      <c r="EU25" s="688"/>
      <c r="EV25" s="688"/>
      <c r="EW25" s="688"/>
      <c r="EX25" s="690"/>
      <c r="EY25" s="689"/>
      <c r="EZ25" s="688"/>
      <c r="FA25" s="688"/>
      <c r="FB25" s="688"/>
      <c r="FC25" s="690"/>
      <c r="FD25" s="689"/>
      <c r="FE25" s="688"/>
      <c r="FF25" s="688"/>
      <c r="FG25" s="688"/>
      <c r="FH25" s="690"/>
    </row>
    <row r="26" spans="2:164">
      <c r="B26" s="670"/>
      <c r="C26" s="671"/>
      <c r="D26" s="671"/>
      <c r="E26" s="695"/>
      <c r="F26" s="672"/>
      <c r="G26" s="672"/>
      <c r="H26" s="673" t="s">
        <v>1364</v>
      </c>
      <c r="I26" s="674">
        <f>ROUND(G25*1/3,1)</f>
        <v>1.9</v>
      </c>
      <c r="J26" s="675">
        <v>24</v>
      </c>
      <c r="K26" s="676"/>
      <c r="L26" s="677"/>
      <c r="M26" s="677"/>
      <c r="N26" s="677"/>
      <c r="O26" s="678"/>
      <c r="P26" s="677"/>
      <c r="Q26" s="677"/>
      <c r="R26" s="677"/>
      <c r="S26" s="679"/>
      <c r="T26" s="678"/>
      <c r="U26" s="677"/>
      <c r="V26" s="677"/>
      <c r="W26" s="677"/>
      <c r="X26" s="679"/>
      <c r="Y26" s="678"/>
      <c r="Z26" s="677"/>
      <c r="AA26" s="677"/>
      <c r="AB26" s="677"/>
      <c r="AC26" s="679"/>
      <c r="AD26" s="678"/>
      <c r="AE26" s="677"/>
      <c r="AF26" s="677"/>
      <c r="AG26" s="677"/>
      <c r="AH26" s="679"/>
      <c r="AI26" s="678"/>
      <c r="AJ26" s="677"/>
      <c r="AK26" s="677"/>
      <c r="AL26" s="677"/>
      <c r="AM26" s="679"/>
      <c r="AN26" s="678"/>
      <c r="AO26" s="677"/>
      <c r="AP26" s="677"/>
      <c r="AQ26" s="677"/>
      <c r="AR26" s="679"/>
      <c r="AS26" s="678"/>
      <c r="AT26" s="677"/>
      <c r="AU26" s="677"/>
      <c r="AV26" s="677"/>
      <c r="AW26" s="679"/>
      <c r="AX26" s="678"/>
      <c r="AY26" s="677"/>
      <c r="AZ26" s="677"/>
      <c r="BA26" s="677"/>
      <c r="BB26" s="679"/>
      <c r="BC26" s="678"/>
      <c r="BD26" s="677"/>
      <c r="BE26" s="677"/>
      <c r="BF26" s="677"/>
      <c r="BG26" s="679"/>
      <c r="BH26" s="678"/>
      <c r="BI26" s="677"/>
      <c r="BJ26" s="677"/>
      <c r="BK26" s="677"/>
      <c r="BL26" s="679"/>
      <c r="BM26" s="678"/>
      <c r="BN26" s="677"/>
      <c r="BO26" s="677"/>
      <c r="BP26" s="677"/>
      <c r="BQ26" s="679"/>
      <c r="BR26" s="678"/>
      <c r="BS26" s="677"/>
      <c r="BT26" s="677"/>
      <c r="BU26" s="677"/>
      <c r="BV26" s="679"/>
      <c r="BW26" s="678"/>
      <c r="BX26" s="677"/>
      <c r="BY26" s="677"/>
      <c r="BZ26" s="677"/>
      <c r="CA26" s="679"/>
      <c r="CB26" s="678"/>
      <c r="CC26" s="677"/>
      <c r="CD26" s="677"/>
      <c r="CE26" s="677"/>
      <c r="CF26" s="679"/>
      <c r="CG26" s="678"/>
      <c r="CH26" s="677"/>
      <c r="CI26" s="677"/>
      <c r="CJ26" s="677"/>
      <c r="CK26" s="679"/>
      <c r="CL26" s="678"/>
      <c r="CM26" s="677"/>
      <c r="CN26" s="677"/>
      <c r="CO26" s="677"/>
      <c r="CP26" s="679"/>
      <c r="CQ26" s="678"/>
      <c r="CR26" s="677"/>
      <c r="CS26" s="677"/>
      <c r="CT26" s="677"/>
      <c r="CU26" s="679"/>
      <c r="CV26" s="678"/>
      <c r="CW26" s="677"/>
      <c r="CX26" s="677"/>
      <c r="CY26" s="677"/>
      <c r="CZ26" s="679"/>
      <c r="DA26" s="678"/>
      <c r="DB26" s="677"/>
      <c r="DC26" s="677"/>
      <c r="DD26" s="677"/>
      <c r="DE26" s="679"/>
      <c r="DF26" s="678"/>
      <c r="DG26" s="677"/>
      <c r="DH26" s="677"/>
      <c r="DI26" s="677"/>
      <c r="DJ26" s="679"/>
      <c r="DK26" s="678"/>
      <c r="DL26" s="677"/>
      <c r="DM26" s="677"/>
      <c r="DN26" s="677"/>
      <c r="DO26" s="679"/>
      <c r="DP26" s="678"/>
      <c r="DQ26" s="677"/>
      <c r="DR26" s="677"/>
      <c r="DS26" s="677"/>
      <c r="DT26" s="679"/>
      <c r="DU26" s="678"/>
      <c r="DV26" s="677"/>
      <c r="DW26" s="677"/>
      <c r="DX26" s="677"/>
      <c r="DY26" s="679"/>
      <c r="DZ26" s="678"/>
      <c r="EA26" s="677"/>
      <c r="EB26" s="677"/>
      <c r="EC26" s="677"/>
      <c r="ED26" s="679"/>
      <c r="EE26" s="678"/>
      <c r="EF26" s="677"/>
      <c r="EG26" s="677"/>
      <c r="EH26" s="677"/>
      <c r="EI26" s="679"/>
      <c r="EJ26" s="678"/>
      <c r="EK26" s="677"/>
      <c r="EL26" s="677"/>
      <c r="EM26" s="677"/>
      <c r="EN26" s="679"/>
      <c r="EO26" s="678"/>
      <c r="EP26" s="677"/>
      <c r="EQ26" s="677"/>
      <c r="ER26" s="677"/>
      <c r="ES26" s="679"/>
      <c r="ET26" s="678"/>
      <c r="EU26" s="677"/>
      <c r="EV26" s="677"/>
      <c r="EW26" s="677"/>
      <c r="EX26" s="679"/>
      <c r="EY26" s="678"/>
      <c r="EZ26" s="677"/>
      <c r="FA26" s="677"/>
      <c r="FB26" s="677"/>
      <c r="FC26" s="679"/>
      <c r="FD26" s="678"/>
      <c r="FE26" s="677"/>
      <c r="FF26" s="677"/>
      <c r="FG26" s="677"/>
      <c r="FH26" s="679"/>
    </row>
    <row r="27" spans="2:164" ht="14.25" thickBot="1">
      <c r="B27" s="658" t="s">
        <v>967</v>
      </c>
      <c r="C27" s="659"/>
      <c r="D27" s="659"/>
      <c r="E27" s="694"/>
      <c r="F27" s="660">
        <f>'[1]基本 (1)'!L85</f>
        <v>11.7</v>
      </c>
      <c r="G27" s="660">
        <f>ROUND(F27*1.7,1)</f>
        <v>19.899999999999999</v>
      </c>
      <c r="H27" s="684" t="s">
        <v>1367</v>
      </c>
      <c r="I27" s="685">
        <f>ROUND(G27*2/3,1)</f>
        <v>13.3</v>
      </c>
      <c r="J27" s="686">
        <v>5</v>
      </c>
      <c r="K27" s="687"/>
      <c r="L27" s="688"/>
      <c r="M27" s="688"/>
      <c r="N27" s="688"/>
      <c r="O27" s="689"/>
      <c r="P27" s="688"/>
      <c r="Q27" s="688"/>
      <c r="R27" s="688"/>
      <c r="S27" s="690"/>
      <c r="T27" s="689"/>
      <c r="U27" s="688"/>
      <c r="V27" s="688"/>
      <c r="W27" s="688"/>
      <c r="X27" s="690"/>
      <c r="Y27" s="689"/>
      <c r="Z27" s="688"/>
      <c r="AA27" s="688"/>
      <c r="AB27" s="688"/>
      <c r="AC27" s="690"/>
      <c r="AD27" s="689"/>
      <c r="AE27" s="688"/>
      <c r="AF27" s="688"/>
      <c r="AG27" s="688"/>
      <c r="AH27" s="690"/>
      <c r="AI27" s="689"/>
      <c r="AJ27" s="688"/>
      <c r="AK27" s="688"/>
      <c r="AL27" s="688"/>
      <c r="AM27" s="690"/>
      <c r="AN27" s="689"/>
      <c r="AO27" s="688"/>
      <c r="AP27" s="688"/>
      <c r="AQ27" s="688"/>
      <c r="AR27" s="690"/>
      <c r="AS27" s="689"/>
      <c r="AT27" s="688"/>
      <c r="AU27" s="688"/>
      <c r="AV27" s="688"/>
      <c r="AW27" s="690"/>
      <c r="AX27" s="689"/>
      <c r="AY27" s="688"/>
      <c r="AZ27" s="688"/>
      <c r="BA27" s="688"/>
      <c r="BB27" s="690"/>
      <c r="BC27" s="689"/>
      <c r="BD27" s="688"/>
      <c r="BE27" s="691"/>
      <c r="BF27" s="691"/>
      <c r="BG27" s="692"/>
      <c r="BH27" s="693"/>
      <c r="BI27" s="691"/>
      <c r="BJ27" s="691"/>
      <c r="BK27" s="688"/>
      <c r="BL27" s="690"/>
      <c r="BM27" s="689"/>
      <c r="BN27" s="688"/>
      <c r="BO27" s="688"/>
      <c r="BP27" s="688"/>
      <c r="BQ27" s="690"/>
      <c r="BR27" s="689"/>
      <c r="BS27" s="688"/>
      <c r="BT27" s="688"/>
      <c r="BU27" s="688"/>
      <c r="BV27" s="690"/>
      <c r="BW27" s="689"/>
      <c r="BX27" s="688"/>
      <c r="BY27" s="688"/>
      <c r="BZ27" s="688"/>
      <c r="CA27" s="690"/>
      <c r="CB27" s="689"/>
      <c r="CC27" s="688"/>
      <c r="CD27" s="688"/>
      <c r="CE27" s="688"/>
      <c r="CF27" s="690"/>
      <c r="CG27" s="689"/>
      <c r="CH27" s="688"/>
      <c r="CI27" s="688"/>
      <c r="CJ27" s="688"/>
      <c r="CK27" s="690"/>
      <c r="CL27" s="689"/>
      <c r="CM27" s="688"/>
      <c r="CN27" s="688"/>
      <c r="CO27" s="688"/>
      <c r="CP27" s="690"/>
      <c r="CQ27" s="689"/>
      <c r="CR27" s="688"/>
      <c r="CS27" s="688"/>
      <c r="CT27" s="688"/>
      <c r="CU27" s="690"/>
      <c r="CV27" s="689"/>
      <c r="CW27" s="688"/>
      <c r="CX27" s="688"/>
      <c r="CY27" s="688"/>
      <c r="CZ27" s="690"/>
      <c r="DA27" s="689"/>
      <c r="DB27" s="688"/>
      <c r="DC27" s="688"/>
      <c r="DD27" s="688"/>
      <c r="DE27" s="690"/>
      <c r="DF27" s="689"/>
      <c r="DG27" s="688"/>
      <c r="DH27" s="688"/>
      <c r="DI27" s="688"/>
      <c r="DJ27" s="690"/>
      <c r="DK27" s="689"/>
      <c r="DL27" s="688"/>
      <c r="DM27" s="688"/>
      <c r="DN27" s="688"/>
      <c r="DO27" s="690"/>
      <c r="DP27" s="689"/>
      <c r="DQ27" s="688"/>
      <c r="DR27" s="688"/>
      <c r="DS27" s="688"/>
      <c r="DT27" s="690"/>
      <c r="DU27" s="689"/>
      <c r="DV27" s="688"/>
      <c r="DW27" s="688"/>
      <c r="DX27" s="688"/>
      <c r="DY27" s="690"/>
      <c r="DZ27" s="689"/>
      <c r="EA27" s="688"/>
      <c r="EB27" s="688"/>
      <c r="EC27" s="688"/>
      <c r="ED27" s="692"/>
      <c r="EE27" s="693"/>
      <c r="EF27" s="691"/>
      <c r="EG27" s="688"/>
      <c r="EH27" s="688"/>
      <c r="EI27" s="690"/>
      <c r="EJ27" s="689"/>
      <c r="EK27" s="688"/>
      <c r="EL27" s="688"/>
      <c r="EM27" s="688"/>
      <c r="EN27" s="690"/>
      <c r="EO27" s="689"/>
      <c r="EP27" s="688"/>
      <c r="EQ27" s="688"/>
      <c r="ER27" s="688"/>
      <c r="ES27" s="690"/>
      <c r="ET27" s="689"/>
      <c r="EU27" s="688"/>
      <c r="EV27" s="688"/>
      <c r="EW27" s="688"/>
      <c r="EX27" s="690"/>
      <c r="EY27" s="689"/>
      <c r="EZ27" s="688"/>
      <c r="FA27" s="688"/>
      <c r="FB27" s="688"/>
      <c r="FC27" s="690"/>
      <c r="FD27" s="689"/>
      <c r="FE27" s="688"/>
      <c r="FF27" s="688"/>
      <c r="FG27" s="688"/>
      <c r="FH27" s="690"/>
    </row>
    <row r="28" spans="2:164">
      <c r="B28" s="670"/>
      <c r="C28" s="671"/>
      <c r="D28" s="671"/>
      <c r="E28" s="695"/>
      <c r="F28" s="672"/>
      <c r="G28" s="672"/>
      <c r="H28" s="673" t="s">
        <v>1364</v>
      </c>
      <c r="I28" s="674">
        <f>ROUND(G27*1/3,1)</f>
        <v>6.6</v>
      </c>
      <c r="J28" s="675">
        <v>25</v>
      </c>
      <c r="K28" s="676"/>
      <c r="L28" s="677"/>
      <c r="M28" s="677"/>
      <c r="N28" s="677"/>
      <c r="O28" s="678"/>
      <c r="P28" s="677"/>
      <c r="Q28" s="677"/>
      <c r="R28" s="677"/>
      <c r="S28" s="679"/>
      <c r="T28" s="678"/>
      <c r="U28" s="677"/>
      <c r="V28" s="677"/>
      <c r="W28" s="677"/>
      <c r="X28" s="679"/>
      <c r="Y28" s="678"/>
      <c r="Z28" s="677"/>
      <c r="AA28" s="677"/>
      <c r="AB28" s="677"/>
      <c r="AC28" s="679"/>
      <c r="AD28" s="678"/>
      <c r="AE28" s="677"/>
      <c r="AF28" s="677"/>
      <c r="AG28" s="677"/>
      <c r="AH28" s="679"/>
      <c r="AI28" s="678"/>
      <c r="AJ28" s="677"/>
      <c r="AK28" s="677"/>
      <c r="AL28" s="677"/>
      <c r="AM28" s="679"/>
      <c r="AN28" s="678"/>
      <c r="AO28" s="677"/>
      <c r="AP28" s="677"/>
      <c r="AQ28" s="677"/>
      <c r="AR28" s="679"/>
      <c r="AS28" s="678"/>
      <c r="AT28" s="677"/>
      <c r="AU28" s="677"/>
      <c r="AV28" s="677"/>
      <c r="AW28" s="679"/>
      <c r="AX28" s="678"/>
      <c r="AY28" s="677"/>
      <c r="AZ28" s="677"/>
      <c r="BA28" s="677"/>
      <c r="BB28" s="679"/>
      <c r="BC28" s="678"/>
      <c r="BD28" s="677"/>
      <c r="BE28" s="677"/>
      <c r="BF28" s="677"/>
      <c r="BG28" s="679"/>
      <c r="BH28" s="678"/>
      <c r="BI28" s="677"/>
      <c r="BJ28" s="677"/>
      <c r="BK28" s="677"/>
      <c r="BL28" s="679"/>
      <c r="BM28" s="678"/>
      <c r="BN28" s="677"/>
      <c r="BO28" s="677"/>
      <c r="BP28" s="677"/>
      <c r="BQ28" s="679"/>
      <c r="BR28" s="678"/>
      <c r="BS28" s="677"/>
      <c r="BT28" s="677"/>
      <c r="BU28" s="677"/>
      <c r="BV28" s="679"/>
      <c r="BW28" s="678"/>
      <c r="BX28" s="677"/>
      <c r="BY28" s="677"/>
      <c r="BZ28" s="677"/>
      <c r="CA28" s="679"/>
      <c r="CB28" s="678"/>
      <c r="CC28" s="677"/>
      <c r="CD28" s="677"/>
      <c r="CE28" s="677"/>
      <c r="CF28" s="679"/>
      <c r="CG28" s="678"/>
      <c r="CH28" s="677"/>
      <c r="CI28" s="677"/>
      <c r="CJ28" s="677"/>
      <c r="CK28" s="679"/>
      <c r="CL28" s="678"/>
      <c r="CM28" s="677"/>
      <c r="CN28" s="677"/>
      <c r="CO28" s="677"/>
      <c r="CP28" s="679"/>
      <c r="CQ28" s="678"/>
      <c r="CR28" s="677"/>
      <c r="CS28" s="677"/>
      <c r="CT28" s="677"/>
      <c r="CU28" s="679"/>
      <c r="CV28" s="678"/>
      <c r="CW28" s="677"/>
      <c r="CX28" s="677"/>
      <c r="CY28" s="677"/>
      <c r="CZ28" s="679"/>
      <c r="DA28" s="678"/>
      <c r="DB28" s="677"/>
      <c r="DC28" s="677"/>
      <c r="DD28" s="677"/>
      <c r="DE28" s="679"/>
      <c r="DF28" s="678"/>
      <c r="DG28" s="677"/>
      <c r="DH28" s="677"/>
      <c r="DI28" s="677"/>
      <c r="DJ28" s="679"/>
      <c r="DK28" s="678"/>
      <c r="DL28" s="677"/>
      <c r="DM28" s="677"/>
      <c r="DN28" s="677"/>
      <c r="DO28" s="679"/>
      <c r="DP28" s="678"/>
      <c r="DQ28" s="677"/>
      <c r="DR28" s="677"/>
      <c r="DS28" s="677"/>
      <c r="DT28" s="679"/>
      <c r="DU28" s="678"/>
      <c r="DV28" s="677"/>
      <c r="DW28" s="677"/>
      <c r="DX28" s="677"/>
      <c r="DY28" s="679"/>
      <c r="DZ28" s="678"/>
      <c r="EA28" s="677"/>
      <c r="EB28" s="677"/>
      <c r="EC28" s="677"/>
      <c r="ED28" s="679"/>
      <c r="EE28" s="678"/>
      <c r="EF28" s="677"/>
      <c r="EG28" s="677"/>
      <c r="EH28" s="677"/>
      <c r="EI28" s="679"/>
      <c r="EJ28" s="678"/>
      <c r="EK28" s="677"/>
      <c r="EL28" s="677"/>
      <c r="EM28" s="677"/>
      <c r="EN28" s="679"/>
      <c r="EO28" s="678"/>
      <c r="EP28" s="677"/>
      <c r="EQ28" s="677"/>
      <c r="ER28" s="677"/>
      <c r="ES28" s="679"/>
      <c r="ET28" s="678"/>
      <c r="EU28" s="677"/>
      <c r="EV28" s="677"/>
      <c r="EW28" s="677"/>
      <c r="EX28" s="679"/>
      <c r="EY28" s="678"/>
      <c r="EZ28" s="677"/>
      <c r="FA28" s="677"/>
      <c r="FB28" s="677"/>
      <c r="FC28" s="679"/>
      <c r="FD28" s="678"/>
      <c r="FE28" s="677"/>
      <c r="FF28" s="677"/>
      <c r="FG28" s="677"/>
      <c r="FH28" s="679"/>
    </row>
    <row r="29" spans="2:164" ht="14.25" thickBot="1">
      <c r="B29" s="658" t="s">
        <v>1368</v>
      </c>
      <c r="C29" s="659"/>
      <c r="D29" s="659"/>
      <c r="E29" s="694"/>
      <c r="F29" s="660">
        <f>'[1]基本 (1)'!L86</f>
        <v>6</v>
      </c>
      <c r="G29" s="660">
        <f>ROUND(F29*1.7,1)</f>
        <v>10.199999999999999</v>
      </c>
      <c r="H29" s="684" t="s">
        <v>1360</v>
      </c>
      <c r="I29" s="685">
        <f>ROUND('[1]日数 (1)'!D526/'[1]基本 (1)'!K86*1.5*(2/3)+'[1]日数 (1)'!D540/'[1]基本 (1)'!K86*1.5,1)</f>
        <v>6</v>
      </c>
      <c r="J29" s="663">
        <v>11</v>
      </c>
      <c r="K29" s="664"/>
      <c r="L29" s="299"/>
      <c r="M29" s="299"/>
      <c r="N29" s="299"/>
      <c r="O29" s="665"/>
      <c r="P29" s="299"/>
      <c r="Q29" s="299"/>
      <c r="R29" s="299"/>
      <c r="S29" s="666"/>
      <c r="T29" s="665"/>
      <c r="U29" s="299"/>
      <c r="V29" s="299"/>
      <c r="W29" s="299"/>
      <c r="X29" s="666"/>
      <c r="Y29" s="665"/>
      <c r="Z29" s="299"/>
      <c r="AA29" s="299"/>
      <c r="AB29" s="299"/>
      <c r="AC29" s="666"/>
      <c r="AD29" s="665"/>
      <c r="AE29" s="299"/>
      <c r="AF29" s="299"/>
      <c r="AG29" s="299"/>
      <c r="AH29" s="666"/>
      <c r="AI29" s="665"/>
      <c r="AJ29" s="299"/>
      <c r="AK29" s="299"/>
      <c r="AL29" s="299"/>
      <c r="AM29" s="666"/>
      <c r="AN29" s="665"/>
      <c r="AO29" s="299"/>
      <c r="AP29" s="299"/>
      <c r="AQ29" s="299"/>
      <c r="AR29" s="666"/>
      <c r="AS29" s="665"/>
      <c r="AT29" s="299"/>
      <c r="AU29" s="299"/>
      <c r="AV29" s="299"/>
      <c r="AW29" s="666"/>
      <c r="AX29" s="665"/>
      <c r="AY29" s="299"/>
      <c r="AZ29" s="299"/>
      <c r="BA29" s="299"/>
      <c r="BB29" s="666"/>
      <c r="BC29" s="665"/>
      <c r="BD29" s="299"/>
      <c r="BE29" s="299"/>
      <c r="BF29" s="299"/>
      <c r="BG29" s="666"/>
      <c r="BH29" s="665"/>
      <c r="BI29" s="299"/>
      <c r="BJ29" s="299"/>
      <c r="BK29" s="299"/>
      <c r="BL29" s="666"/>
      <c r="BM29" s="665"/>
      <c r="BN29" s="299"/>
      <c r="BO29" s="299"/>
      <c r="BP29" s="299"/>
      <c r="BQ29" s="666"/>
      <c r="BR29" s="665"/>
      <c r="BS29" s="299"/>
      <c r="BT29" s="299"/>
      <c r="BU29" s="299"/>
      <c r="BV29" s="666"/>
      <c r="BW29" s="665"/>
      <c r="BX29" s="299"/>
      <c r="BY29" s="691"/>
      <c r="BZ29" s="691"/>
      <c r="CA29" s="692"/>
      <c r="CB29" s="665"/>
      <c r="CC29" s="299"/>
      <c r="CD29" s="299"/>
      <c r="CE29" s="299"/>
      <c r="CF29" s="666"/>
      <c r="CG29" s="665"/>
      <c r="CH29" s="299"/>
      <c r="CI29" s="299"/>
      <c r="CJ29" s="299"/>
      <c r="CK29" s="666"/>
      <c r="CL29" s="665"/>
      <c r="CM29" s="299"/>
      <c r="CN29" s="299"/>
      <c r="CO29" s="299"/>
      <c r="CP29" s="666"/>
      <c r="CQ29" s="665"/>
      <c r="CR29" s="299"/>
      <c r="CS29" s="299"/>
      <c r="CT29" s="299"/>
      <c r="CU29" s="666"/>
      <c r="CV29" s="665"/>
      <c r="CW29" s="299"/>
      <c r="CX29" s="299"/>
      <c r="CY29" s="299"/>
      <c r="CZ29" s="666"/>
      <c r="DA29" s="665"/>
      <c r="DB29" s="299"/>
      <c r="DC29" s="299"/>
      <c r="DD29" s="299"/>
      <c r="DE29" s="666"/>
      <c r="DF29" s="665"/>
      <c r="DG29" s="299"/>
      <c r="DH29" s="299"/>
      <c r="DI29" s="299"/>
      <c r="DJ29" s="666"/>
      <c r="DK29" s="665"/>
      <c r="DL29" s="299"/>
      <c r="DM29" s="299"/>
      <c r="DN29" s="299"/>
      <c r="DO29" s="666"/>
      <c r="DP29" s="665"/>
      <c r="DQ29" s="299"/>
      <c r="DR29" s="691"/>
      <c r="DS29" s="299"/>
      <c r="DT29" s="666"/>
      <c r="DU29" s="665"/>
      <c r="DV29" s="299"/>
      <c r="DW29" s="299"/>
      <c r="DX29" s="299"/>
      <c r="DY29" s="666"/>
      <c r="DZ29" s="665"/>
      <c r="EA29" s="299"/>
      <c r="EB29" s="299"/>
      <c r="EC29" s="299"/>
      <c r="ED29" s="666"/>
      <c r="EE29" s="665"/>
      <c r="EF29" s="299"/>
      <c r="EG29" s="299"/>
      <c r="EH29" s="299"/>
      <c r="EI29" s="666"/>
      <c r="EJ29" s="665"/>
      <c r="EK29" s="299"/>
      <c r="EL29" s="299"/>
      <c r="EM29" s="299"/>
      <c r="EN29" s="666"/>
      <c r="EO29" s="665"/>
      <c r="EP29" s="299"/>
      <c r="EQ29" s="299"/>
      <c r="ER29" s="299"/>
      <c r="ES29" s="666"/>
      <c r="ET29" s="665"/>
      <c r="EU29" s="299"/>
      <c r="EV29" s="299"/>
      <c r="EW29" s="299"/>
      <c r="EX29" s="666"/>
      <c r="EY29" s="665"/>
      <c r="EZ29" s="299"/>
      <c r="FA29" s="299"/>
      <c r="FB29" s="299"/>
      <c r="FC29" s="666"/>
      <c r="FD29" s="665"/>
      <c r="FE29" s="299"/>
      <c r="FF29" s="299"/>
      <c r="FG29" s="299"/>
      <c r="FH29" s="666"/>
    </row>
    <row r="30" spans="2:164">
      <c r="B30" s="670"/>
      <c r="C30" s="671"/>
      <c r="D30" s="671"/>
      <c r="E30" s="671"/>
      <c r="F30" s="672"/>
      <c r="G30" s="672"/>
      <c r="H30" s="673" t="s">
        <v>1361</v>
      </c>
      <c r="I30" s="674">
        <f>ROUND('[1]日数 (1)'!D526/'[1]基本 (1)'!K86*1.5*(1/3),1)</f>
        <v>3</v>
      </c>
      <c r="J30" s="663">
        <v>17</v>
      </c>
      <c r="K30" s="664"/>
      <c r="L30" s="299"/>
      <c r="M30" s="299"/>
      <c r="N30" s="299"/>
      <c r="O30" s="665"/>
      <c r="P30" s="299"/>
      <c r="Q30" s="299"/>
      <c r="R30" s="299"/>
      <c r="S30" s="666"/>
      <c r="T30" s="665"/>
      <c r="U30" s="299"/>
      <c r="V30" s="299"/>
      <c r="W30" s="299"/>
      <c r="X30" s="666"/>
      <c r="Y30" s="665"/>
      <c r="Z30" s="299"/>
      <c r="AA30" s="299"/>
      <c r="AB30" s="299"/>
      <c r="AC30" s="666"/>
      <c r="AD30" s="665"/>
      <c r="AE30" s="299"/>
      <c r="AF30" s="299"/>
      <c r="AG30" s="299"/>
      <c r="AH30" s="666"/>
      <c r="AI30" s="665"/>
      <c r="AJ30" s="299"/>
      <c r="AK30" s="299"/>
      <c r="AL30" s="299"/>
      <c r="AM30" s="666"/>
      <c r="AN30" s="665"/>
      <c r="AO30" s="299"/>
      <c r="AP30" s="299"/>
      <c r="AQ30" s="299"/>
      <c r="AR30" s="666"/>
      <c r="AS30" s="665"/>
      <c r="AT30" s="299"/>
      <c r="AU30" s="299"/>
      <c r="AV30" s="299"/>
      <c r="AW30" s="666"/>
      <c r="AX30" s="665"/>
      <c r="AY30" s="299"/>
      <c r="AZ30" s="299"/>
      <c r="BA30" s="299"/>
      <c r="BB30" s="666"/>
      <c r="BC30" s="665"/>
      <c r="BD30" s="299"/>
      <c r="BE30" s="299"/>
      <c r="BF30" s="299"/>
      <c r="BG30" s="666"/>
      <c r="BH30" s="665"/>
      <c r="BI30" s="299"/>
      <c r="BJ30" s="299"/>
      <c r="BK30" s="299"/>
      <c r="BL30" s="666"/>
      <c r="BM30" s="665"/>
      <c r="BN30" s="299"/>
      <c r="BO30" s="299"/>
      <c r="BP30" s="299"/>
      <c r="BQ30" s="666"/>
      <c r="BR30" s="665"/>
      <c r="BS30" s="299"/>
      <c r="BT30" s="299"/>
      <c r="BU30" s="299"/>
      <c r="BV30" s="666"/>
      <c r="BW30" s="665"/>
      <c r="BX30" s="299"/>
      <c r="BY30" s="299"/>
      <c r="BZ30" s="299"/>
      <c r="CA30" s="666"/>
      <c r="CB30" s="665"/>
      <c r="CC30" s="299"/>
      <c r="CD30" s="299"/>
      <c r="CE30" s="299"/>
      <c r="CF30" s="666"/>
      <c r="CG30" s="665"/>
      <c r="CH30" s="299"/>
      <c r="CI30" s="299"/>
      <c r="CJ30" s="299"/>
      <c r="CK30" s="666"/>
      <c r="CL30" s="665"/>
      <c r="CM30" s="299"/>
      <c r="CN30" s="299"/>
      <c r="CO30" s="299"/>
      <c r="CP30" s="666"/>
      <c r="CQ30" s="665"/>
      <c r="CR30" s="299"/>
      <c r="CS30" s="299"/>
      <c r="CT30" s="299"/>
      <c r="CU30" s="666"/>
      <c r="CV30" s="665"/>
      <c r="CW30" s="299"/>
      <c r="CX30" s="299"/>
      <c r="CY30" s="299"/>
      <c r="CZ30" s="666"/>
      <c r="DA30" s="665"/>
      <c r="DB30" s="299"/>
      <c r="DC30" s="299"/>
      <c r="DD30" s="299"/>
      <c r="DE30" s="666"/>
      <c r="DF30" s="665"/>
      <c r="DG30" s="299"/>
      <c r="DH30" s="299"/>
      <c r="DI30" s="299"/>
      <c r="DJ30" s="666"/>
      <c r="DK30" s="665"/>
      <c r="DL30" s="299"/>
      <c r="DM30" s="299"/>
      <c r="DN30" s="299"/>
      <c r="DO30" s="666"/>
      <c r="DP30" s="665"/>
      <c r="DQ30" s="299"/>
      <c r="DR30" s="299"/>
      <c r="DS30" s="299"/>
      <c r="DT30" s="666"/>
      <c r="DU30" s="665"/>
      <c r="DV30" s="299"/>
      <c r="DW30" s="299"/>
      <c r="DX30" s="299"/>
      <c r="DY30" s="666"/>
      <c r="DZ30" s="665"/>
      <c r="EA30" s="299"/>
      <c r="EB30" s="299"/>
      <c r="EC30" s="299"/>
      <c r="ED30" s="666"/>
      <c r="EE30" s="665"/>
      <c r="EF30" s="299"/>
      <c r="EG30" s="299"/>
      <c r="EH30" s="299"/>
      <c r="EI30" s="666"/>
      <c r="EJ30" s="665"/>
      <c r="EK30" s="299"/>
      <c r="EL30" s="299"/>
      <c r="EM30" s="299"/>
      <c r="EN30" s="666"/>
      <c r="EO30" s="665"/>
      <c r="EP30" s="299"/>
      <c r="EQ30" s="299"/>
      <c r="ER30" s="299"/>
      <c r="ES30" s="666"/>
      <c r="ET30" s="665"/>
      <c r="EU30" s="299"/>
      <c r="EV30" s="299"/>
      <c r="EW30" s="299"/>
      <c r="EX30" s="666"/>
      <c r="EY30" s="665"/>
      <c r="EZ30" s="299"/>
      <c r="FA30" s="299"/>
      <c r="FB30" s="299"/>
      <c r="FC30" s="666"/>
      <c r="FD30" s="665"/>
      <c r="FE30" s="299"/>
      <c r="FF30" s="299"/>
      <c r="FG30" s="299"/>
      <c r="FH30" s="666"/>
    </row>
    <row r="31" spans="2:164" ht="14.25" thickBot="1">
      <c r="B31" s="683" t="s">
        <v>1369</v>
      </c>
      <c r="C31" s="683"/>
      <c r="D31" s="683"/>
      <c r="E31" s="658"/>
      <c r="F31" s="660">
        <f>'[1]基本 (1)'!N88</f>
        <v>12.5</v>
      </c>
      <c r="G31" s="660">
        <f>ROUND(F31*1.7,1)</f>
        <v>21.3</v>
      </c>
      <c r="H31" s="684" t="s">
        <v>1370</v>
      </c>
      <c r="I31" s="685" t="s">
        <v>1370</v>
      </c>
      <c r="J31" s="686">
        <v>12</v>
      </c>
      <c r="K31" s="687"/>
      <c r="L31" s="688"/>
      <c r="M31" s="688"/>
      <c r="N31" s="688"/>
      <c r="O31" s="689"/>
      <c r="P31" s="688"/>
      <c r="Q31" s="688"/>
      <c r="R31" s="688"/>
      <c r="S31" s="690"/>
      <c r="T31" s="689"/>
      <c r="U31" s="688"/>
      <c r="V31" s="688"/>
      <c r="W31" s="688"/>
      <c r="X31" s="690"/>
      <c r="Y31" s="689"/>
      <c r="Z31" s="688"/>
      <c r="AA31" s="688"/>
      <c r="AB31" s="688"/>
      <c r="AC31" s="690"/>
      <c r="AD31" s="689"/>
      <c r="AE31" s="688"/>
      <c r="AF31" s="688"/>
      <c r="AG31" s="688"/>
      <c r="AH31" s="690"/>
      <c r="AI31" s="689"/>
      <c r="AJ31" s="688"/>
      <c r="AK31" s="688"/>
      <c r="AL31" s="688"/>
      <c r="AM31" s="690"/>
      <c r="AN31" s="689"/>
      <c r="AO31" s="688"/>
      <c r="AP31" s="688"/>
      <c r="AQ31" s="688"/>
      <c r="AR31" s="690"/>
      <c r="AS31" s="689"/>
      <c r="AT31" s="688"/>
      <c r="AU31" s="688"/>
      <c r="AV31" s="688"/>
      <c r="AW31" s="690"/>
      <c r="AX31" s="689"/>
      <c r="AY31" s="688"/>
      <c r="AZ31" s="688"/>
      <c r="BA31" s="688"/>
      <c r="BB31" s="690"/>
      <c r="BC31" s="689"/>
      <c r="BD31" s="688"/>
      <c r="BE31" s="688"/>
      <c r="BF31" s="688"/>
      <c r="BG31" s="690"/>
      <c r="BH31" s="689"/>
      <c r="BI31" s="688"/>
      <c r="BJ31" s="688"/>
      <c r="BK31" s="688"/>
      <c r="BL31" s="690"/>
      <c r="BM31" s="689"/>
      <c r="BN31" s="688"/>
      <c r="BO31" s="688"/>
      <c r="BP31" s="688"/>
      <c r="BQ31" s="690"/>
      <c r="BR31" s="689"/>
      <c r="BS31" s="688"/>
      <c r="BT31" s="688"/>
      <c r="BU31" s="688"/>
      <c r="BV31" s="690"/>
      <c r="BW31" s="689"/>
      <c r="BX31" s="688"/>
      <c r="BY31" s="688"/>
      <c r="BZ31" s="688"/>
      <c r="CA31" s="690"/>
      <c r="CB31" s="693"/>
      <c r="CC31" s="691"/>
      <c r="CD31" s="691"/>
      <c r="CE31" s="691"/>
      <c r="CF31" s="692"/>
      <c r="CG31" s="693"/>
      <c r="CH31" s="691"/>
      <c r="CI31" s="691"/>
      <c r="CJ31" s="691"/>
      <c r="CK31" s="692"/>
      <c r="CL31" s="693"/>
      <c r="CM31" s="688"/>
      <c r="CN31" s="688"/>
      <c r="CO31" s="688"/>
      <c r="CP31" s="690"/>
      <c r="CQ31" s="689"/>
      <c r="CR31" s="688"/>
      <c r="CS31" s="688"/>
      <c r="CT31" s="688"/>
      <c r="CU31" s="690"/>
      <c r="CV31" s="689"/>
      <c r="CW31" s="688"/>
      <c r="CX31" s="688"/>
      <c r="CY31" s="688"/>
      <c r="CZ31" s="690"/>
      <c r="DA31" s="689"/>
      <c r="DB31" s="688"/>
      <c r="DC31" s="688"/>
      <c r="DD31" s="688"/>
      <c r="DE31" s="690"/>
      <c r="DF31" s="689"/>
      <c r="DG31" s="688"/>
      <c r="DH31" s="688"/>
      <c r="DI31" s="688"/>
      <c r="DJ31" s="690"/>
      <c r="DK31" s="689"/>
      <c r="DL31" s="688"/>
      <c r="DM31" s="688"/>
      <c r="DN31" s="688"/>
      <c r="DO31" s="690"/>
      <c r="DP31" s="689"/>
      <c r="DQ31" s="688"/>
      <c r="DR31" s="688"/>
      <c r="DS31" s="688"/>
      <c r="DT31" s="690"/>
      <c r="DU31" s="689"/>
      <c r="DV31" s="688"/>
      <c r="DW31" s="688"/>
      <c r="DX31" s="688"/>
      <c r="DY31" s="690"/>
      <c r="DZ31" s="689"/>
      <c r="EA31" s="688"/>
      <c r="EB31" s="688"/>
      <c r="EC31" s="688"/>
      <c r="ED31" s="690"/>
      <c r="EE31" s="689"/>
      <c r="EF31" s="688"/>
      <c r="EG31" s="688"/>
      <c r="EH31" s="688"/>
      <c r="EI31" s="690"/>
      <c r="EJ31" s="689"/>
      <c r="EK31" s="688"/>
      <c r="EL31" s="688"/>
      <c r="EM31" s="688"/>
      <c r="EN31" s="690"/>
      <c r="EO31" s="689"/>
      <c r="EP31" s="688"/>
      <c r="EQ31" s="688"/>
      <c r="ER31" s="688"/>
      <c r="ES31" s="690"/>
      <c r="ET31" s="689"/>
      <c r="EU31" s="688"/>
      <c r="EV31" s="688"/>
      <c r="EW31" s="688"/>
      <c r="EX31" s="690"/>
      <c r="EY31" s="689"/>
      <c r="EZ31" s="688"/>
      <c r="FA31" s="688"/>
      <c r="FB31" s="688"/>
      <c r="FC31" s="690"/>
      <c r="FD31" s="689"/>
      <c r="FE31" s="688"/>
      <c r="FF31" s="688"/>
      <c r="FG31" s="688"/>
      <c r="FH31" s="690"/>
    </row>
    <row r="32" spans="2:164">
      <c r="B32" s="670"/>
      <c r="C32" s="671"/>
      <c r="D32" s="671"/>
      <c r="E32" s="671"/>
      <c r="F32" s="672"/>
      <c r="G32" s="672"/>
      <c r="H32" s="673"/>
      <c r="I32" s="674"/>
      <c r="J32" s="675"/>
      <c r="K32" s="676"/>
      <c r="L32" s="677"/>
      <c r="M32" s="677"/>
      <c r="N32" s="677"/>
      <c r="O32" s="678"/>
      <c r="P32" s="677"/>
      <c r="Q32" s="677"/>
      <c r="R32" s="677"/>
      <c r="S32" s="679"/>
      <c r="T32" s="678"/>
      <c r="U32" s="677"/>
      <c r="V32" s="677"/>
      <c r="W32" s="677"/>
      <c r="X32" s="679"/>
      <c r="Y32" s="678"/>
      <c r="Z32" s="677"/>
      <c r="AA32" s="677"/>
      <c r="AB32" s="677"/>
      <c r="AC32" s="679"/>
      <c r="AD32" s="678"/>
      <c r="AE32" s="677"/>
      <c r="AF32" s="677"/>
      <c r="AG32" s="677"/>
      <c r="AH32" s="679"/>
      <c r="AI32" s="678"/>
      <c r="AJ32" s="677"/>
      <c r="AK32" s="677"/>
      <c r="AL32" s="677"/>
      <c r="AM32" s="679"/>
      <c r="AN32" s="678"/>
      <c r="AO32" s="677"/>
      <c r="AP32" s="677"/>
      <c r="AQ32" s="677"/>
      <c r="AR32" s="679"/>
      <c r="AS32" s="678"/>
      <c r="AT32" s="677"/>
      <c r="AU32" s="677"/>
      <c r="AV32" s="677"/>
      <c r="AW32" s="679"/>
      <c r="AX32" s="678"/>
      <c r="AY32" s="677"/>
      <c r="AZ32" s="677"/>
      <c r="BA32" s="677"/>
      <c r="BB32" s="679"/>
      <c r="BC32" s="678"/>
      <c r="BD32" s="677"/>
      <c r="BE32" s="677"/>
      <c r="BF32" s="677"/>
      <c r="BG32" s="679"/>
      <c r="BH32" s="678"/>
      <c r="BI32" s="677"/>
      <c r="BJ32" s="677"/>
      <c r="BK32" s="677"/>
      <c r="BL32" s="679"/>
      <c r="BM32" s="678"/>
      <c r="BN32" s="677"/>
      <c r="BO32" s="677"/>
      <c r="BP32" s="677"/>
      <c r="BQ32" s="679"/>
      <c r="BR32" s="678"/>
      <c r="BS32" s="677"/>
      <c r="BT32" s="677"/>
      <c r="BU32" s="677"/>
      <c r="BV32" s="679"/>
      <c r="BW32" s="678"/>
      <c r="BX32" s="677"/>
      <c r="BY32" s="677"/>
      <c r="BZ32" s="677"/>
      <c r="CA32" s="679"/>
      <c r="CB32" s="678"/>
      <c r="CC32" s="677"/>
      <c r="CD32" s="677"/>
      <c r="CE32" s="677"/>
      <c r="CF32" s="679"/>
      <c r="CG32" s="678"/>
      <c r="CH32" s="677"/>
      <c r="CI32" s="677"/>
      <c r="CJ32" s="677"/>
      <c r="CK32" s="679"/>
      <c r="CL32" s="678"/>
      <c r="CM32" s="677"/>
      <c r="CN32" s="677"/>
      <c r="CO32" s="677"/>
      <c r="CP32" s="679"/>
      <c r="CQ32" s="678"/>
      <c r="CR32" s="677"/>
      <c r="CS32" s="677"/>
      <c r="CT32" s="677"/>
      <c r="CU32" s="679"/>
      <c r="CV32" s="678"/>
      <c r="CW32" s="677"/>
      <c r="CX32" s="677"/>
      <c r="CY32" s="677"/>
      <c r="CZ32" s="679"/>
      <c r="DA32" s="678"/>
      <c r="DB32" s="677"/>
      <c r="DC32" s="677"/>
      <c r="DD32" s="677"/>
      <c r="DE32" s="679"/>
      <c r="DF32" s="678"/>
      <c r="DG32" s="677"/>
      <c r="DH32" s="677"/>
      <c r="DI32" s="677"/>
      <c r="DJ32" s="679"/>
      <c r="DK32" s="678"/>
      <c r="DL32" s="677"/>
      <c r="DM32" s="677"/>
      <c r="DN32" s="677"/>
      <c r="DO32" s="679"/>
      <c r="DP32" s="678"/>
      <c r="DQ32" s="677"/>
      <c r="DR32" s="677"/>
      <c r="DS32" s="677"/>
      <c r="DT32" s="679"/>
      <c r="DU32" s="678"/>
      <c r="DV32" s="677"/>
      <c r="DW32" s="677"/>
      <c r="DX32" s="677"/>
      <c r="DY32" s="679"/>
      <c r="DZ32" s="678"/>
      <c r="EA32" s="677"/>
      <c r="EB32" s="677"/>
      <c r="EC32" s="677"/>
      <c r="ED32" s="679"/>
      <c r="EE32" s="678"/>
      <c r="EF32" s="677"/>
      <c r="EG32" s="677"/>
      <c r="EH32" s="677"/>
      <c r="EI32" s="679"/>
      <c r="EJ32" s="678"/>
      <c r="EK32" s="677"/>
      <c r="EL32" s="677"/>
      <c r="EM32" s="677"/>
      <c r="EN32" s="679"/>
      <c r="EO32" s="678"/>
      <c r="EP32" s="677"/>
      <c r="EQ32" s="677"/>
      <c r="ER32" s="677"/>
      <c r="ES32" s="679"/>
      <c r="ET32" s="678"/>
      <c r="EU32" s="677"/>
      <c r="EV32" s="677"/>
      <c r="EW32" s="677"/>
      <c r="EX32" s="679"/>
      <c r="EY32" s="678"/>
      <c r="EZ32" s="677"/>
      <c r="FA32" s="677"/>
      <c r="FB32" s="677"/>
      <c r="FC32" s="679"/>
      <c r="FD32" s="678"/>
      <c r="FE32" s="677"/>
      <c r="FF32" s="677"/>
      <c r="FG32" s="677"/>
      <c r="FH32" s="679"/>
    </row>
    <row r="33" spans="2:164" ht="14.25" thickBot="1">
      <c r="B33" s="683" t="s">
        <v>1371</v>
      </c>
      <c r="C33" s="683"/>
      <c r="D33" s="683"/>
      <c r="E33" s="658"/>
      <c r="F33" s="660">
        <f>'[1]基本 (1)'!N89</f>
        <v>3.9</v>
      </c>
      <c r="G33" s="660">
        <f>ROUND(F33*1.7,1)</f>
        <v>6.6</v>
      </c>
      <c r="H33" s="684" t="s">
        <v>1370</v>
      </c>
      <c r="I33" s="685" t="s">
        <v>1370</v>
      </c>
      <c r="J33" s="686">
        <v>18</v>
      </c>
      <c r="K33" s="687"/>
      <c r="L33" s="688"/>
      <c r="M33" s="688"/>
      <c r="N33" s="688"/>
      <c r="O33" s="689"/>
      <c r="P33" s="688"/>
      <c r="Q33" s="688"/>
      <c r="R33" s="688"/>
      <c r="S33" s="690"/>
      <c r="T33" s="689"/>
      <c r="U33" s="688"/>
      <c r="V33" s="688"/>
      <c r="W33" s="688"/>
      <c r="X33" s="690"/>
      <c r="Y33" s="689"/>
      <c r="Z33" s="688"/>
      <c r="AA33" s="688"/>
      <c r="AB33" s="688"/>
      <c r="AC33" s="690"/>
      <c r="AD33" s="689"/>
      <c r="AE33" s="688"/>
      <c r="AF33" s="688"/>
      <c r="AG33" s="688"/>
      <c r="AH33" s="690"/>
      <c r="AI33" s="689"/>
      <c r="AJ33" s="688"/>
      <c r="AK33" s="688"/>
      <c r="AL33" s="688"/>
      <c r="AM33" s="690"/>
      <c r="AN33" s="689"/>
      <c r="AO33" s="688"/>
      <c r="AP33" s="688"/>
      <c r="AQ33" s="688"/>
      <c r="AR33" s="690"/>
      <c r="AS33" s="689"/>
      <c r="AT33" s="688"/>
      <c r="AU33" s="688"/>
      <c r="AV33" s="688"/>
      <c r="AW33" s="690"/>
      <c r="AX33" s="689"/>
      <c r="AY33" s="688"/>
      <c r="AZ33" s="688"/>
      <c r="BA33" s="688"/>
      <c r="BB33" s="690"/>
      <c r="BC33" s="689"/>
      <c r="BD33" s="688"/>
      <c r="BE33" s="688"/>
      <c r="BF33" s="688"/>
      <c r="BG33" s="690"/>
      <c r="BH33" s="689"/>
      <c r="BI33" s="688"/>
      <c r="BJ33" s="688"/>
      <c r="BK33" s="688"/>
      <c r="BL33" s="690"/>
      <c r="BM33" s="689"/>
      <c r="BN33" s="688"/>
      <c r="BO33" s="688"/>
      <c r="BP33" s="688"/>
      <c r="BQ33" s="690"/>
      <c r="BR33" s="689"/>
      <c r="BS33" s="688"/>
      <c r="BT33" s="688"/>
      <c r="BU33" s="688"/>
      <c r="BV33" s="690"/>
      <c r="BW33" s="689"/>
      <c r="BX33" s="688"/>
      <c r="BY33" s="688"/>
      <c r="BZ33" s="688"/>
      <c r="CA33" s="690"/>
      <c r="CB33" s="689"/>
      <c r="CC33" s="688"/>
      <c r="CD33" s="688"/>
      <c r="CE33" s="688"/>
      <c r="CF33" s="690"/>
      <c r="CG33" s="689"/>
      <c r="CH33" s="688"/>
      <c r="CI33" s="688"/>
      <c r="CJ33" s="688"/>
      <c r="CK33" s="690"/>
      <c r="CL33" s="689"/>
      <c r="CM33" s="688"/>
      <c r="CN33" s="688"/>
      <c r="CO33" s="688"/>
      <c r="CP33" s="690"/>
      <c r="CQ33" s="689"/>
      <c r="CR33" s="688"/>
      <c r="CS33" s="688"/>
      <c r="CT33" s="688"/>
      <c r="CU33" s="690"/>
      <c r="CV33" s="689"/>
      <c r="CW33" s="688"/>
      <c r="CX33" s="688"/>
      <c r="CY33" s="688"/>
      <c r="CZ33" s="690"/>
      <c r="DA33" s="689"/>
      <c r="DB33" s="688"/>
      <c r="DC33" s="688"/>
      <c r="DD33" s="688"/>
      <c r="DE33" s="690"/>
      <c r="DF33" s="689"/>
      <c r="DG33" s="688"/>
      <c r="DH33" s="688"/>
      <c r="DI33" s="688"/>
      <c r="DJ33" s="690"/>
      <c r="DK33" s="689"/>
      <c r="DL33" s="688"/>
      <c r="DM33" s="688"/>
      <c r="DN33" s="688"/>
      <c r="DO33" s="690"/>
      <c r="DP33" s="689"/>
      <c r="DQ33" s="688"/>
      <c r="DR33" s="688"/>
      <c r="DS33" s="691"/>
      <c r="DT33" s="692"/>
      <c r="DU33" s="693"/>
      <c r="DV33" s="688"/>
      <c r="DW33" s="688"/>
      <c r="DX33" s="688"/>
      <c r="DY33" s="690"/>
      <c r="DZ33" s="689"/>
      <c r="EA33" s="688"/>
      <c r="EB33" s="688"/>
      <c r="EC33" s="688"/>
      <c r="ED33" s="690"/>
      <c r="EE33" s="689"/>
      <c r="EF33" s="688"/>
      <c r="EG33" s="688"/>
      <c r="EH33" s="688"/>
      <c r="EI33" s="690"/>
      <c r="EJ33" s="689"/>
      <c r="EK33" s="688"/>
      <c r="EL33" s="688"/>
      <c r="EM33" s="688"/>
      <c r="EN33" s="690"/>
      <c r="EO33" s="689"/>
      <c r="EP33" s="688"/>
      <c r="EQ33" s="688"/>
      <c r="ER33" s="688"/>
      <c r="ES33" s="690"/>
      <c r="ET33" s="689"/>
      <c r="EU33" s="688"/>
      <c r="EV33" s="688"/>
      <c r="EW33" s="688"/>
      <c r="EX33" s="690"/>
      <c r="EY33" s="689"/>
      <c r="EZ33" s="688"/>
      <c r="FA33" s="688"/>
      <c r="FB33" s="688"/>
      <c r="FC33" s="690"/>
      <c r="FD33" s="689"/>
      <c r="FE33" s="688"/>
      <c r="FF33" s="688"/>
      <c r="FG33" s="688"/>
      <c r="FH33" s="690"/>
    </row>
    <row r="34" spans="2:164">
      <c r="B34" s="670"/>
      <c r="C34" s="671"/>
      <c r="D34" s="671"/>
      <c r="E34" s="671"/>
      <c r="F34" s="672"/>
      <c r="G34" s="672"/>
      <c r="H34" s="673"/>
      <c r="I34" s="674"/>
      <c r="J34" s="675"/>
      <c r="K34" s="676"/>
      <c r="L34" s="677"/>
      <c r="M34" s="677"/>
      <c r="N34" s="677"/>
      <c r="O34" s="678"/>
      <c r="P34" s="677"/>
      <c r="Q34" s="677"/>
      <c r="R34" s="677"/>
      <c r="S34" s="679"/>
      <c r="T34" s="678"/>
      <c r="U34" s="677"/>
      <c r="V34" s="677"/>
      <c r="W34" s="677"/>
      <c r="X34" s="679"/>
      <c r="Y34" s="678"/>
      <c r="Z34" s="677"/>
      <c r="AA34" s="677"/>
      <c r="AB34" s="677"/>
      <c r="AC34" s="679"/>
      <c r="AD34" s="678"/>
      <c r="AE34" s="677"/>
      <c r="AF34" s="677"/>
      <c r="AG34" s="677"/>
      <c r="AH34" s="679"/>
      <c r="AI34" s="678"/>
      <c r="AJ34" s="677"/>
      <c r="AK34" s="677"/>
      <c r="AL34" s="677"/>
      <c r="AM34" s="679"/>
      <c r="AN34" s="678"/>
      <c r="AO34" s="677"/>
      <c r="AP34" s="677"/>
      <c r="AQ34" s="677"/>
      <c r="AR34" s="679"/>
      <c r="AS34" s="678"/>
      <c r="AT34" s="677"/>
      <c r="AU34" s="677"/>
      <c r="AV34" s="677"/>
      <c r="AW34" s="679"/>
      <c r="AX34" s="678"/>
      <c r="AY34" s="677"/>
      <c r="AZ34" s="677"/>
      <c r="BA34" s="677"/>
      <c r="BB34" s="679"/>
      <c r="BC34" s="678"/>
      <c r="BD34" s="677"/>
      <c r="BE34" s="677"/>
      <c r="BF34" s="677"/>
      <c r="BG34" s="679"/>
      <c r="BH34" s="678"/>
      <c r="BI34" s="677"/>
      <c r="BJ34" s="677"/>
      <c r="BK34" s="677"/>
      <c r="BL34" s="679"/>
      <c r="BM34" s="678"/>
      <c r="BN34" s="677"/>
      <c r="BO34" s="677"/>
      <c r="BP34" s="677"/>
      <c r="BQ34" s="679"/>
      <c r="BR34" s="678"/>
      <c r="BS34" s="677"/>
      <c r="BT34" s="677"/>
      <c r="BU34" s="677"/>
      <c r="BV34" s="679"/>
      <c r="BW34" s="678"/>
      <c r="BX34" s="677"/>
      <c r="BY34" s="677"/>
      <c r="BZ34" s="677"/>
      <c r="CA34" s="679"/>
      <c r="CB34" s="678"/>
      <c r="CC34" s="677"/>
      <c r="CD34" s="677"/>
      <c r="CE34" s="677"/>
      <c r="CF34" s="679"/>
      <c r="CG34" s="678"/>
      <c r="CH34" s="677"/>
      <c r="CI34" s="677"/>
      <c r="CJ34" s="677"/>
      <c r="CK34" s="679"/>
      <c r="CL34" s="678"/>
      <c r="CM34" s="677"/>
      <c r="CN34" s="677"/>
      <c r="CO34" s="677"/>
      <c r="CP34" s="679"/>
      <c r="CQ34" s="678"/>
      <c r="CR34" s="677"/>
      <c r="CS34" s="677"/>
      <c r="CT34" s="677"/>
      <c r="CU34" s="679"/>
      <c r="CV34" s="678"/>
      <c r="CW34" s="677"/>
      <c r="CX34" s="677"/>
      <c r="CY34" s="677"/>
      <c r="CZ34" s="679"/>
      <c r="DA34" s="678"/>
      <c r="DB34" s="677"/>
      <c r="DC34" s="677"/>
      <c r="DD34" s="677"/>
      <c r="DE34" s="679"/>
      <c r="DF34" s="678"/>
      <c r="DG34" s="677"/>
      <c r="DH34" s="677"/>
      <c r="DI34" s="677"/>
      <c r="DJ34" s="679"/>
      <c r="DK34" s="678"/>
      <c r="DL34" s="677"/>
      <c r="DM34" s="677"/>
      <c r="DN34" s="677"/>
      <c r="DO34" s="679"/>
      <c r="DP34" s="678"/>
      <c r="DQ34" s="677"/>
      <c r="DR34" s="677"/>
      <c r="DS34" s="677"/>
      <c r="DT34" s="679"/>
      <c r="DU34" s="678"/>
      <c r="DV34" s="677"/>
      <c r="DW34" s="677"/>
      <c r="DX34" s="677"/>
      <c r="DY34" s="679"/>
      <c r="DZ34" s="678"/>
      <c r="EA34" s="677"/>
      <c r="EB34" s="677"/>
      <c r="EC34" s="677"/>
      <c r="ED34" s="679"/>
      <c r="EE34" s="678"/>
      <c r="EF34" s="677"/>
      <c r="EG34" s="677"/>
      <c r="EH34" s="677"/>
      <c r="EI34" s="679"/>
      <c r="EJ34" s="678"/>
      <c r="EK34" s="677"/>
      <c r="EL34" s="677"/>
      <c r="EM34" s="677"/>
      <c r="EN34" s="679"/>
      <c r="EO34" s="678"/>
      <c r="EP34" s="677"/>
      <c r="EQ34" s="677"/>
      <c r="ER34" s="677"/>
      <c r="ES34" s="679"/>
      <c r="ET34" s="678"/>
      <c r="EU34" s="677"/>
      <c r="EV34" s="677"/>
      <c r="EW34" s="677"/>
      <c r="EX34" s="679"/>
      <c r="EY34" s="678"/>
      <c r="EZ34" s="677"/>
      <c r="FA34" s="677"/>
      <c r="FB34" s="677"/>
      <c r="FC34" s="679"/>
      <c r="FD34" s="678"/>
      <c r="FE34" s="677"/>
      <c r="FF34" s="677"/>
      <c r="FG34" s="677"/>
      <c r="FH34" s="679"/>
    </row>
    <row r="35" spans="2:164" ht="14.25" thickBot="1">
      <c r="B35" s="683" t="s">
        <v>1372</v>
      </c>
      <c r="C35" s="683"/>
      <c r="D35" s="683"/>
      <c r="E35" s="658"/>
      <c r="F35" s="660">
        <f>'[1]基本 (1)'!N90</f>
        <v>1.3</v>
      </c>
      <c r="G35" s="660">
        <f>ROUND(F35*1.7,1)</f>
        <v>2.2000000000000002</v>
      </c>
      <c r="H35" s="684" t="s">
        <v>1370</v>
      </c>
      <c r="I35" s="685" t="s">
        <v>1370</v>
      </c>
      <c r="J35" s="686">
        <v>19</v>
      </c>
      <c r="K35" s="687"/>
      <c r="L35" s="688"/>
      <c r="M35" s="688"/>
      <c r="N35" s="688"/>
      <c r="O35" s="689"/>
      <c r="P35" s="688"/>
      <c r="Q35" s="688"/>
      <c r="R35" s="688"/>
      <c r="S35" s="690"/>
      <c r="T35" s="689"/>
      <c r="U35" s="688"/>
      <c r="V35" s="688"/>
      <c r="W35" s="688"/>
      <c r="X35" s="690"/>
      <c r="Y35" s="689"/>
      <c r="Z35" s="688"/>
      <c r="AA35" s="688"/>
      <c r="AB35" s="688"/>
      <c r="AC35" s="690"/>
      <c r="AD35" s="689"/>
      <c r="AE35" s="688"/>
      <c r="AF35" s="688"/>
      <c r="AG35" s="688"/>
      <c r="AH35" s="690"/>
      <c r="AI35" s="689"/>
      <c r="AJ35" s="688"/>
      <c r="AK35" s="688"/>
      <c r="AL35" s="688"/>
      <c r="AM35" s="690"/>
      <c r="AN35" s="689"/>
      <c r="AO35" s="688"/>
      <c r="AP35" s="688"/>
      <c r="AQ35" s="688"/>
      <c r="AR35" s="690"/>
      <c r="AS35" s="689"/>
      <c r="AT35" s="688"/>
      <c r="AU35" s="688"/>
      <c r="AV35" s="688"/>
      <c r="AW35" s="690"/>
      <c r="AX35" s="689"/>
      <c r="AY35" s="688"/>
      <c r="AZ35" s="688"/>
      <c r="BA35" s="688"/>
      <c r="BB35" s="690"/>
      <c r="BC35" s="689"/>
      <c r="BD35" s="688"/>
      <c r="BE35" s="688"/>
      <c r="BF35" s="688"/>
      <c r="BG35" s="690"/>
      <c r="BH35" s="689"/>
      <c r="BI35" s="688"/>
      <c r="BJ35" s="688"/>
      <c r="BK35" s="688"/>
      <c r="BL35" s="690"/>
      <c r="BM35" s="689"/>
      <c r="BN35" s="688"/>
      <c r="BO35" s="688"/>
      <c r="BP35" s="688"/>
      <c r="BQ35" s="690"/>
      <c r="BR35" s="689"/>
      <c r="BS35" s="688"/>
      <c r="BT35" s="688"/>
      <c r="BU35" s="688"/>
      <c r="BV35" s="690"/>
      <c r="BW35" s="689"/>
      <c r="BX35" s="688"/>
      <c r="BY35" s="688"/>
      <c r="BZ35" s="688"/>
      <c r="CA35" s="690"/>
      <c r="CB35" s="689"/>
      <c r="CC35" s="688"/>
      <c r="CD35" s="688"/>
      <c r="CE35" s="688"/>
      <c r="CF35" s="690"/>
      <c r="CG35" s="689"/>
      <c r="CH35" s="688"/>
      <c r="CI35" s="688"/>
      <c r="CJ35" s="688"/>
      <c r="CK35" s="690"/>
      <c r="CL35" s="689"/>
      <c r="CM35" s="688"/>
      <c r="CN35" s="688"/>
      <c r="CO35" s="688"/>
      <c r="CP35" s="690"/>
      <c r="CQ35" s="689"/>
      <c r="CR35" s="688"/>
      <c r="CS35" s="688"/>
      <c r="CT35" s="688"/>
      <c r="CU35" s="690"/>
      <c r="CV35" s="689"/>
      <c r="CW35" s="688"/>
      <c r="CX35" s="688"/>
      <c r="CY35" s="688"/>
      <c r="CZ35" s="690"/>
      <c r="DA35" s="689"/>
      <c r="DB35" s="688"/>
      <c r="DC35" s="688"/>
      <c r="DD35" s="688"/>
      <c r="DE35" s="690"/>
      <c r="DF35" s="689"/>
      <c r="DG35" s="688"/>
      <c r="DH35" s="688"/>
      <c r="DI35" s="688"/>
      <c r="DJ35" s="690"/>
      <c r="DK35" s="689"/>
      <c r="DL35" s="688"/>
      <c r="DM35" s="688"/>
      <c r="DN35" s="688"/>
      <c r="DO35" s="690"/>
      <c r="DP35" s="689"/>
      <c r="DQ35" s="688"/>
      <c r="DR35" s="688"/>
      <c r="DS35" s="688"/>
      <c r="DT35" s="690"/>
      <c r="DU35" s="689"/>
      <c r="DV35" s="691"/>
      <c r="DW35" s="688"/>
      <c r="DX35" s="688"/>
      <c r="DY35" s="690"/>
      <c r="DZ35" s="689"/>
      <c r="EA35" s="688"/>
      <c r="EB35" s="688"/>
      <c r="EC35" s="688"/>
      <c r="ED35" s="690"/>
      <c r="EE35" s="689"/>
      <c r="EF35" s="688"/>
      <c r="EG35" s="688"/>
      <c r="EH35" s="688"/>
      <c r="EI35" s="690"/>
      <c r="EJ35" s="689"/>
      <c r="EK35" s="688"/>
      <c r="EL35" s="688"/>
      <c r="EM35" s="688"/>
      <c r="EN35" s="690"/>
      <c r="EO35" s="689"/>
      <c r="EP35" s="688"/>
      <c r="EQ35" s="688"/>
      <c r="ER35" s="688"/>
      <c r="ES35" s="690"/>
      <c r="ET35" s="689"/>
      <c r="EU35" s="688"/>
      <c r="EV35" s="688"/>
      <c r="EW35" s="688"/>
      <c r="EX35" s="690"/>
      <c r="EY35" s="689"/>
      <c r="EZ35" s="688"/>
      <c r="FA35" s="688"/>
      <c r="FB35" s="688"/>
      <c r="FC35" s="690"/>
      <c r="FD35" s="689"/>
      <c r="FE35" s="688"/>
      <c r="FF35" s="688"/>
      <c r="FG35" s="688"/>
      <c r="FH35" s="690"/>
    </row>
    <row r="36" spans="2:164">
      <c r="B36" s="670"/>
      <c r="C36" s="671"/>
      <c r="D36" s="671"/>
      <c r="E36" s="671"/>
      <c r="F36" s="672"/>
      <c r="G36" s="672"/>
      <c r="H36" s="673"/>
      <c r="I36" s="674"/>
      <c r="J36" s="675"/>
      <c r="K36" s="676"/>
      <c r="L36" s="677"/>
      <c r="M36" s="677"/>
      <c r="N36" s="677"/>
      <c r="O36" s="678"/>
      <c r="P36" s="677"/>
      <c r="Q36" s="677"/>
      <c r="R36" s="677"/>
      <c r="S36" s="679"/>
      <c r="T36" s="678"/>
      <c r="U36" s="677"/>
      <c r="V36" s="677"/>
      <c r="W36" s="677"/>
      <c r="X36" s="679"/>
      <c r="Y36" s="678"/>
      <c r="Z36" s="677"/>
      <c r="AA36" s="677"/>
      <c r="AB36" s="677"/>
      <c r="AC36" s="679"/>
      <c r="AD36" s="678"/>
      <c r="AE36" s="677"/>
      <c r="AF36" s="677"/>
      <c r="AG36" s="677"/>
      <c r="AH36" s="679"/>
      <c r="AI36" s="678"/>
      <c r="AJ36" s="677"/>
      <c r="AK36" s="677"/>
      <c r="AL36" s="677"/>
      <c r="AM36" s="679"/>
      <c r="AN36" s="678"/>
      <c r="AO36" s="677"/>
      <c r="AP36" s="677"/>
      <c r="AQ36" s="677"/>
      <c r="AR36" s="679"/>
      <c r="AS36" s="678"/>
      <c r="AT36" s="677"/>
      <c r="AU36" s="677"/>
      <c r="AV36" s="677"/>
      <c r="AW36" s="679"/>
      <c r="AX36" s="678"/>
      <c r="AY36" s="677"/>
      <c r="AZ36" s="677"/>
      <c r="BA36" s="677"/>
      <c r="BB36" s="679"/>
      <c r="BC36" s="678"/>
      <c r="BD36" s="677"/>
      <c r="BE36" s="677"/>
      <c r="BF36" s="677"/>
      <c r="BG36" s="679"/>
      <c r="BH36" s="678"/>
      <c r="BI36" s="677"/>
      <c r="BJ36" s="677"/>
      <c r="BK36" s="677"/>
      <c r="BL36" s="679"/>
      <c r="BM36" s="678"/>
      <c r="BN36" s="677"/>
      <c r="BO36" s="677"/>
      <c r="BP36" s="677"/>
      <c r="BQ36" s="679"/>
      <c r="BR36" s="678"/>
      <c r="BS36" s="677"/>
      <c r="BT36" s="677"/>
      <c r="BU36" s="677"/>
      <c r="BV36" s="679"/>
      <c r="BW36" s="678"/>
      <c r="BX36" s="677"/>
      <c r="BY36" s="677"/>
      <c r="BZ36" s="677"/>
      <c r="CA36" s="679"/>
      <c r="CB36" s="678"/>
      <c r="CC36" s="677"/>
      <c r="CD36" s="677"/>
      <c r="CE36" s="677"/>
      <c r="CF36" s="679"/>
      <c r="CG36" s="678"/>
      <c r="CH36" s="677"/>
      <c r="CI36" s="677"/>
      <c r="CJ36" s="677"/>
      <c r="CK36" s="679"/>
      <c r="CL36" s="678"/>
      <c r="CM36" s="677"/>
      <c r="CN36" s="677"/>
      <c r="CO36" s="677"/>
      <c r="CP36" s="679"/>
      <c r="CQ36" s="678"/>
      <c r="CR36" s="677"/>
      <c r="CS36" s="677"/>
      <c r="CT36" s="677"/>
      <c r="CU36" s="679"/>
      <c r="CV36" s="678"/>
      <c r="CW36" s="677"/>
      <c r="CX36" s="677"/>
      <c r="CY36" s="677"/>
      <c r="CZ36" s="679"/>
      <c r="DA36" s="678"/>
      <c r="DB36" s="677"/>
      <c r="DC36" s="677"/>
      <c r="DD36" s="677"/>
      <c r="DE36" s="679"/>
      <c r="DF36" s="678"/>
      <c r="DG36" s="677"/>
      <c r="DH36" s="677"/>
      <c r="DI36" s="677"/>
      <c r="DJ36" s="679"/>
      <c r="DK36" s="678"/>
      <c r="DL36" s="677"/>
      <c r="DM36" s="677"/>
      <c r="DN36" s="677"/>
      <c r="DO36" s="679"/>
      <c r="DP36" s="678"/>
      <c r="DQ36" s="677"/>
      <c r="DR36" s="677"/>
      <c r="DS36" s="677"/>
      <c r="DT36" s="679"/>
      <c r="DU36" s="678"/>
      <c r="DV36" s="677"/>
      <c r="DW36" s="677"/>
      <c r="DX36" s="677"/>
      <c r="DY36" s="679"/>
      <c r="DZ36" s="678"/>
      <c r="EA36" s="677"/>
      <c r="EB36" s="677"/>
      <c r="EC36" s="677"/>
      <c r="ED36" s="679"/>
      <c r="EE36" s="678"/>
      <c r="EF36" s="677"/>
      <c r="EG36" s="677"/>
      <c r="EH36" s="677"/>
      <c r="EI36" s="679"/>
      <c r="EJ36" s="678"/>
      <c r="EK36" s="677"/>
      <c r="EL36" s="677"/>
      <c r="EM36" s="677"/>
      <c r="EN36" s="679"/>
      <c r="EO36" s="678"/>
      <c r="EP36" s="677"/>
      <c r="EQ36" s="677"/>
      <c r="ER36" s="677"/>
      <c r="ES36" s="679"/>
      <c r="ET36" s="678"/>
      <c r="EU36" s="677"/>
      <c r="EV36" s="677"/>
      <c r="EW36" s="677"/>
      <c r="EX36" s="679"/>
      <c r="EY36" s="678"/>
      <c r="EZ36" s="677"/>
      <c r="FA36" s="677"/>
      <c r="FB36" s="677"/>
      <c r="FC36" s="679"/>
      <c r="FD36" s="678"/>
      <c r="FE36" s="677"/>
      <c r="FF36" s="677"/>
      <c r="FG36" s="677"/>
      <c r="FH36" s="679"/>
    </row>
    <row r="37" spans="2:164" hidden="1">
      <c r="B37" s="683" t="s">
        <v>1373</v>
      </c>
      <c r="C37" s="683"/>
      <c r="D37" s="683"/>
      <c r="E37" s="658"/>
      <c r="F37" s="660">
        <f>'[1]基本 (1)'!N91</f>
        <v>0</v>
      </c>
      <c r="G37" s="660">
        <f>ROUND(F37*1.7,1)</f>
        <v>0</v>
      </c>
      <c r="H37" s="684" t="s">
        <v>1370</v>
      </c>
      <c r="I37" s="685" t="s">
        <v>1370</v>
      </c>
      <c r="J37" s="686"/>
      <c r="K37" s="687"/>
      <c r="L37" s="688"/>
      <c r="M37" s="688"/>
      <c r="N37" s="688"/>
      <c r="O37" s="689"/>
      <c r="P37" s="688"/>
      <c r="Q37" s="688"/>
      <c r="R37" s="688"/>
      <c r="S37" s="690"/>
      <c r="T37" s="689"/>
      <c r="U37" s="688"/>
      <c r="V37" s="688"/>
      <c r="W37" s="688"/>
      <c r="X37" s="690"/>
      <c r="Y37" s="689"/>
      <c r="Z37" s="688"/>
      <c r="AA37" s="688"/>
      <c r="AB37" s="688"/>
      <c r="AC37" s="690"/>
      <c r="AD37" s="689"/>
      <c r="AE37" s="688"/>
      <c r="AF37" s="688"/>
      <c r="AG37" s="688"/>
      <c r="AH37" s="690"/>
      <c r="AI37" s="689"/>
      <c r="AJ37" s="688"/>
      <c r="AK37" s="688"/>
      <c r="AL37" s="688"/>
      <c r="AM37" s="690"/>
      <c r="AN37" s="689"/>
      <c r="AO37" s="688"/>
      <c r="AP37" s="688"/>
      <c r="AQ37" s="688"/>
      <c r="AR37" s="690"/>
      <c r="AS37" s="689"/>
      <c r="AT37" s="688"/>
      <c r="AU37" s="688"/>
      <c r="AV37" s="688"/>
      <c r="AW37" s="690"/>
      <c r="AX37" s="689"/>
      <c r="AY37" s="688"/>
      <c r="AZ37" s="688"/>
      <c r="BA37" s="688"/>
      <c r="BB37" s="690"/>
      <c r="BC37" s="689"/>
      <c r="BD37" s="688"/>
      <c r="BE37" s="688"/>
      <c r="BF37" s="688"/>
      <c r="BG37" s="690"/>
      <c r="BH37" s="689"/>
      <c r="BI37" s="688"/>
      <c r="BJ37" s="688"/>
      <c r="BK37" s="688"/>
      <c r="BL37" s="690"/>
      <c r="BM37" s="689"/>
      <c r="BN37" s="688"/>
      <c r="BO37" s="688"/>
      <c r="BP37" s="688"/>
      <c r="BQ37" s="690"/>
      <c r="BR37" s="689"/>
      <c r="BS37" s="688"/>
      <c r="BT37" s="688"/>
      <c r="BU37" s="688"/>
      <c r="BV37" s="690"/>
      <c r="BW37" s="689"/>
      <c r="BX37" s="688"/>
      <c r="BY37" s="688"/>
      <c r="BZ37" s="688"/>
      <c r="CA37" s="690"/>
      <c r="CB37" s="689"/>
      <c r="CC37" s="688"/>
      <c r="CD37" s="688"/>
      <c r="CE37" s="688"/>
      <c r="CF37" s="690"/>
      <c r="CG37" s="689"/>
      <c r="CH37" s="688"/>
      <c r="CI37" s="688"/>
      <c r="CJ37" s="688"/>
      <c r="CK37" s="690"/>
      <c r="CL37" s="689"/>
      <c r="CM37" s="688"/>
      <c r="CN37" s="688"/>
      <c r="CO37" s="688"/>
      <c r="CP37" s="690"/>
      <c r="CQ37" s="689"/>
      <c r="CR37" s="688"/>
      <c r="CS37" s="688"/>
      <c r="CT37" s="688"/>
      <c r="CU37" s="690"/>
      <c r="CV37" s="689"/>
      <c r="CW37" s="688"/>
      <c r="CX37" s="688"/>
      <c r="CY37" s="688"/>
      <c r="CZ37" s="690"/>
      <c r="DA37" s="689"/>
      <c r="DB37" s="688"/>
      <c r="DC37" s="688"/>
      <c r="DD37" s="688"/>
      <c r="DE37" s="690"/>
      <c r="DF37" s="689"/>
      <c r="DG37" s="688"/>
      <c r="DH37" s="688"/>
      <c r="DI37" s="688"/>
      <c r="DJ37" s="690"/>
      <c r="DK37" s="689"/>
      <c r="DL37" s="688"/>
      <c r="DM37" s="688"/>
      <c r="DN37" s="688"/>
      <c r="DO37" s="690"/>
      <c r="DP37" s="689"/>
      <c r="DQ37" s="688"/>
      <c r="DR37" s="688"/>
      <c r="DS37" s="688"/>
      <c r="DT37" s="690"/>
      <c r="DU37" s="689"/>
      <c r="DV37" s="688"/>
      <c r="DW37" s="688"/>
      <c r="DX37" s="688"/>
      <c r="DY37" s="690"/>
      <c r="DZ37" s="689"/>
      <c r="EA37" s="688"/>
      <c r="EB37" s="688"/>
      <c r="EC37" s="688"/>
      <c r="ED37" s="690"/>
      <c r="EE37" s="689"/>
      <c r="EF37" s="688"/>
      <c r="EG37" s="688"/>
      <c r="EH37" s="688"/>
      <c r="EI37" s="690"/>
      <c r="EJ37" s="689"/>
      <c r="EK37" s="688"/>
      <c r="EL37" s="688"/>
      <c r="EM37" s="688"/>
      <c r="EN37" s="690"/>
      <c r="EO37" s="689"/>
      <c r="EP37" s="688"/>
      <c r="EQ37" s="688"/>
      <c r="ER37" s="688"/>
      <c r="ES37" s="690"/>
      <c r="ET37" s="689"/>
      <c r="EU37" s="688"/>
      <c r="EV37" s="688"/>
      <c r="EW37" s="688"/>
      <c r="EX37" s="690"/>
      <c r="EY37" s="689"/>
      <c r="EZ37" s="688"/>
      <c r="FA37" s="688"/>
      <c r="FB37" s="688"/>
      <c r="FC37" s="690"/>
      <c r="FD37" s="689"/>
      <c r="FE37" s="688"/>
      <c r="FF37" s="688"/>
      <c r="FG37" s="688"/>
      <c r="FH37" s="690"/>
    </row>
    <row r="38" spans="2:164" hidden="1">
      <c r="B38" s="670"/>
      <c r="C38" s="671"/>
      <c r="D38" s="671"/>
      <c r="E38" s="671"/>
      <c r="F38" s="672"/>
      <c r="G38" s="672"/>
      <c r="H38" s="673"/>
      <c r="I38" s="674"/>
      <c r="J38" s="675"/>
      <c r="K38" s="676"/>
      <c r="L38" s="677"/>
      <c r="M38" s="677"/>
      <c r="N38" s="677"/>
      <c r="O38" s="678"/>
      <c r="P38" s="677"/>
      <c r="Q38" s="677"/>
      <c r="R38" s="677"/>
      <c r="S38" s="679"/>
      <c r="T38" s="678"/>
      <c r="U38" s="677"/>
      <c r="V38" s="677"/>
      <c r="W38" s="677"/>
      <c r="X38" s="679"/>
      <c r="Y38" s="678"/>
      <c r="Z38" s="677"/>
      <c r="AA38" s="677"/>
      <c r="AB38" s="677"/>
      <c r="AC38" s="679"/>
      <c r="AD38" s="678"/>
      <c r="AE38" s="677"/>
      <c r="AF38" s="677"/>
      <c r="AG38" s="677"/>
      <c r="AH38" s="679"/>
      <c r="AI38" s="678"/>
      <c r="AJ38" s="677"/>
      <c r="AK38" s="677"/>
      <c r="AL38" s="677"/>
      <c r="AM38" s="679"/>
      <c r="AN38" s="678"/>
      <c r="AO38" s="677"/>
      <c r="AP38" s="677"/>
      <c r="AQ38" s="677"/>
      <c r="AR38" s="679"/>
      <c r="AS38" s="678"/>
      <c r="AT38" s="677"/>
      <c r="AU38" s="677"/>
      <c r="AV38" s="677"/>
      <c r="AW38" s="679"/>
      <c r="AX38" s="678"/>
      <c r="AY38" s="677"/>
      <c r="AZ38" s="677"/>
      <c r="BA38" s="677"/>
      <c r="BB38" s="679"/>
      <c r="BC38" s="678"/>
      <c r="BD38" s="677"/>
      <c r="BE38" s="677"/>
      <c r="BF38" s="677"/>
      <c r="BG38" s="679"/>
      <c r="BH38" s="678"/>
      <c r="BI38" s="677"/>
      <c r="BJ38" s="677"/>
      <c r="BK38" s="677"/>
      <c r="BL38" s="679"/>
      <c r="BM38" s="678"/>
      <c r="BN38" s="677"/>
      <c r="BO38" s="677"/>
      <c r="BP38" s="677"/>
      <c r="BQ38" s="679"/>
      <c r="BR38" s="678"/>
      <c r="BS38" s="677"/>
      <c r="BT38" s="677"/>
      <c r="BU38" s="677"/>
      <c r="BV38" s="679"/>
      <c r="BW38" s="678"/>
      <c r="BX38" s="677"/>
      <c r="BY38" s="677"/>
      <c r="BZ38" s="677"/>
      <c r="CA38" s="679"/>
      <c r="CB38" s="678"/>
      <c r="CC38" s="677"/>
      <c r="CD38" s="677"/>
      <c r="CE38" s="677"/>
      <c r="CF38" s="679"/>
      <c r="CG38" s="678"/>
      <c r="CH38" s="677"/>
      <c r="CI38" s="677"/>
      <c r="CJ38" s="677"/>
      <c r="CK38" s="679"/>
      <c r="CL38" s="678"/>
      <c r="CM38" s="677"/>
      <c r="CN38" s="677"/>
      <c r="CO38" s="677"/>
      <c r="CP38" s="679"/>
      <c r="CQ38" s="678"/>
      <c r="CR38" s="677"/>
      <c r="CS38" s="677"/>
      <c r="CT38" s="677"/>
      <c r="CU38" s="679"/>
      <c r="CV38" s="678"/>
      <c r="CW38" s="677"/>
      <c r="CX38" s="677"/>
      <c r="CY38" s="677"/>
      <c r="CZ38" s="679"/>
      <c r="DA38" s="678"/>
      <c r="DB38" s="677"/>
      <c r="DC38" s="677"/>
      <c r="DD38" s="677"/>
      <c r="DE38" s="679"/>
      <c r="DF38" s="678"/>
      <c r="DG38" s="677"/>
      <c r="DH38" s="677"/>
      <c r="DI38" s="677"/>
      <c r="DJ38" s="679"/>
      <c r="DK38" s="678"/>
      <c r="DL38" s="677"/>
      <c r="DM38" s="677"/>
      <c r="DN38" s="677"/>
      <c r="DO38" s="679"/>
      <c r="DP38" s="678"/>
      <c r="DQ38" s="677"/>
      <c r="DR38" s="677"/>
      <c r="DS38" s="677"/>
      <c r="DT38" s="679"/>
      <c r="DU38" s="678"/>
      <c r="DV38" s="677"/>
      <c r="DW38" s="677"/>
      <c r="DX38" s="677"/>
      <c r="DY38" s="679"/>
      <c r="DZ38" s="678"/>
      <c r="EA38" s="677"/>
      <c r="EB38" s="677"/>
      <c r="EC38" s="677"/>
      <c r="ED38" s="679"/>
      <c r="EE38" s="678"/>
      <c r="EF38" s="677"/>
      <c r="EG38" s="677"/>
      <c r="EH38" s="677"/>
      <c r="EI38" s="679"/>
      <c r="EJ38" s="678"/>
      <c r="EK38" s="677"/>
      <c r="EL38" s="677"/>
      <c r="EM38" s="677"/>
      <c r="EN38" s="679"/>
      <c r="EO38" s="678"/>
      <c r="EP38" s="677"/>
      <c r="EQ38" s="677"/>
      <c r="ER38" s="677"/>
      <c r="ES38" s="679"/>
      <c r="ET38" s="678"/>
      <c r="EU38" s="677"/>
      <c r="EV38" s="677"/>
      <c r="EW38" s="677"/>
      <c r="EX38" s="679"/>
      <c r="EY38" s="678"/>
      <c r="EZ38" s="677"/>
      <c r="FA38" s="677"/>
      <c r="FB38" s="677"/>
      <c r="FC38" s="679"/>
      <c r="FD38" s="678"/>
      <c r="FE38" s="677"/>
      <c r="FF38" s="677"/>
      <c r="FG38" s="677"/>
      <c r="FH38" s="679"/>
    </row>
    <row r="39" spans="2:164" hidden="1">
      <c r="B39" s="683" t="s">
        <v>1374</v>
      </c>
      <c r="C39" s="683"/>
      <c r="D39" s="683"/>
      <c r="E39" s="658"/>
      <c r="F39" s="660">
        <f>'[1]基本 (1)'!N92</f>
        <v>0</v>
      </c>
      <c r="G39" s="660">
        <f>ROUND(F39*1.7,1)</f>
        <v>0</v>
      </c>
      <c r="H39" s="684" t="s">
        <v>1375</v>
      </c>
      <c r="I39" s="685" t="s">
        <v>1370</v>
      </c>
      <c r="J39" s="686"/>
      <c r="K39" s="687"/>
      <c r="L39" s="688"/>
      <c r="M39" s="688"/>
      <c r="N39" s="688"/>
      <c r="O39" s="689"/>
      <c r="P39" s="688"/>
      <c r="Q39" s="688"/>
      <c r="R39" s="688"/>
      <c r="S39" s="690"/>
      <c r="T39" s="689"/>
      <c r="U39" s="688"/>
      <c r="V39" s="688"/>
      <c r="W39" s="688"/>
      <c r="X39" s="690"/>
      <c r="Y39" s="689"/>
      <c r="Z39" s="688"/>
      <c r="AA39" s="688"/>
      <c r="AB39" s="688"/>
      <c r="AC39" s="690"/>
      <c r="AD39" s="689"/>
      <c r="AE39" s="688"/>
      <c r="AF39" s="688"/>
      <c r="AG39" s="688"/>
      <c r="AH39" s="690"/>
      <c r="AI39" s="689"/>
      <c r="AJ39" s="688"/>
      <c r="AK39" s="688"/>
      <c r="AL39" s="688"/>
      <c r="AM39" s="690"/>
      <c r="AN39" s="689"/>
      <c r="AO39" s="688"/>
      <c r="AP39" s="688"/>
      <c r="AQ39" s="688"/>
      <c r="AR39" s="690"/>
      <c r="AS39" s="689"/>
      <c r="AT39" s="688"/>
      <c r="AU39" s="688"/>
      <c r="AV39" s="688"/>
      <c r="AW39" s="690"/>
      <c r="AX39" s="689"/>
      <c r="AY39" s="688"/>
      <c r="AZ39" s="688"/>
      <c r="BA39" s="688"/>
      <c r="BB39" s="690"/>
      <c r="BC39" s="689"/>
      <c r="BD39" s="688"/>
      <c r="BE39" s="688"/>
      <c r="BF39" s="688"/>
      <c r="BG39" s="690"/>
      <c r="BH39" s="689"/>
      <c r="BI39" s="688"/>
      <c r="BJ39" s="688"/>
      <c r="BK39" s="688"/>
      <c r="BL39" s="690"/>
      <c r="BM39" s="689"/>
      <c r="BN39" s="688"/>
      <c r="BO39" s="688"/>
      <c r="BP39" s="688"/>
      <c r="BQ39" s="690"/>
      <c r="BR39" s="689"/>
      <c r="BS39" s="688"/>
      <c r="BT39" s="688"/>
      <c r="BU39" s="688"/>
      <c r="BV39" s="690"/>
      <c r="BW39" s="689"/>
      <c r="BX39" s="688"/>
      <c r="BY39" s="688"/>
      <c r="BZ39" s="688"/>
      <c r="CA39" s="690"/>
      <c r="CB39" s="689"/>
      <c r="CC39" s="688"/>
      <c r="CD39" s="688"/>
      <c r="CE39" s="688"/>
      <c r="CF39" s="690"/>
      <c r="CG39" s="689"/>
      <c r="CH39" s="688"/>
      <c r="CI39" s="688"/>
      <c r="CJ39" s="688"/>
      <c r="CK39" s="690"/>
      <c r="CL39" s="689"/>
      <c r="CM39" s="688"/>
      <c r="CN39" s="688"/>
      <c r="CO39" s="688"/>
      <c r="CP39" s="690"/>
      <c r="CQ39" s="689"/>
      <c r="CR39" s="688"/>
      <c r="CS39" s="688"/>
      <c r="CT39" s="688"/>
      <c r="CU39" s="690"/>
      <c r="CV39" s="689"/>
      <c r="CW39" s="688"/>
      <c r="CX39" s="688"/>
      <c r="CY39" s="688"/>
      <c r="CZ39" s="690"/>
      <c r="DA39" s="689"/>
      <c r="DB39" s="688"/>
      <c r="DC39" s="688"/>
      <c r="DD39" s="688"/>
      <c r="DE39" s="690"/>
      <c r="DF39" s="689"/>
      <c r="DG39" s="688"/>
      <c r="DH39" s="688"/>
      <c r="DI39" s="688"/>
      <c r="DJ39" s="690"/>
      <c r="DK39" s="689"/>
      <c r="DL39" s="688"/>
      <c r="DM39" s="688"/>
      <c r="DN39" s="688"/>
      <c r="DO39" s="690"/>
      <c r="DP39" s="689"/>
      <c r="DQ39" s="688"/>
      <c r="DR39" s="688"/>
      <c r="DS39" s="688"/>
      <c r="DT39" s="690"/>
      <c r="DU39" s="689"/>
      <c r="DV39" s="688"/>
      <c r="DW39" s="688"/>
      <c r="DX39" s="688"/>
      <c r="DY39" s="690"/>
      <c r="DZ39" s="689"/>
      <c r="EA39" s="688"/>
      <c r="EB39" s="688"/>
      <c r="EC39" s="688"/>
      <c r="ED39" s="690"/>
      <c r="EE39" s="689"/>
      <c r="EF39" s="688"/>
      <c r="EG39" s="688"/>
      <c r="EH39" s="688"/>
      <c r="EI39" s="690"/>
      <c r="EJ39" s="689"/>
      <c r="EK39" s="688"/>
      <c r="EL39" s="688"/>
      <c r="EM39" s="688"/>
      <c r="EN39" s="690"/>
      <c r="EO39" s="689"/>
      <c r="EP39" s="688"/>
      <c r="EQ39" s="688"/>
      <c r="ER39" s="688"/>
      <c r="ES39" s="690"/>
      <c r="ET39" s="689"/>
      <c r="EU39" s="688"/>
      <c r="EV39" s="688"/>
      <c r="EW39" s="688"/>
      <c r="EX39" s="690"/>
      <c r="EY39" s="689"/>
      <c r="EZ39" s="688"/>
      <c r="FA39" s="688"/>
      <c r="FB39" s="688"/>
      <c r="FC39" s="690"/>
      <c r="FD39" s="689"/>
      <c r="FE39" s="688"/>
      <c r="FF39" s="688"/>
      <c r="FG39" s="688"/>
      <c r="FH39" s="690"/>
    </row>
    <row r="40" spans="2:164" hidden="1">
      <c r="B40" s="670"/>
      <c r="C40" s="671"/>
      <c r="D40" s="671"/>
      <c r="E40" s="671"/>
      <c r="F40" s="672"/>
      <c r="G40" s="672"/>
      <c r="H40" s="673"/>
      <c r="I40" s="674"/>
      <c r="J40" s="675"/>
      <c r="K40" s="676"/>
      <c r="L40" s="677"/>
      <c r="M40" s="677"/>
      <c r="N40" s="677"/>
      <c r="O40" s="678"/>
      <c r="P40" s="677"/>
      <c r="Q40" s="677"/>
      <c r="R40" s="677"/>
      <c r="S40" s="679"/>
      <c r="T40" s="678"/>
      <c r="U40" s="677"/>
      <c r="V40" s="677"/>
      <c r="W40" s="677"/>
      <c r="X40" s="679"/>
      <c r="Y40" s="678"/>
      <c r="Z40" s="677"/>
      <c r="AA40" s="677"/>
      <c r="AB40" s="677"/>
      <c r="AC40" s="679"/>
      <c r="AD40" s="678"/>
      <c r="AE40" s="677"/>
      <c r="AF40" s="677"/>
      <c r="AG40" s="677"/>
      <c r="AH40" s="679"/>
      <c r="AI40" s="678"/>
      <c r="AJ40" s="677"/>
      <c r="AK40" s="677"/>
      <c r="AL40" s="677"/>
      <c r="AM40" s="679"/>
      <c r="AN40" s="678"/>
      <c r="AO40" s="677"/>
      <c r="AP40" s="677"/>
      <c r="AQ40" s="677"/>
      <c r="AR40" s="679"/>
      <c r="AS40" s="678"/>
      <c r="AT40" s="677"/>
      <c r="AU40" s="677"/>
      <c r="AV40" s="677"/>
      <c r="AW40" s="679"/>
      <c r="AX40" s="678"/>
      <c r="AY40" s="677"/>
      <c r="AZ40" s="677"/>
      <c r="BA40" s="677"/>
      <c r="BB40" s="679"/>
      <c r="BC40" s="678"/>
      <c r="BD40" s="677"/>
      <c r="BE40" s="677"/>
      <c r="BF40" s="677"/>
      <c r="BG40" s="679"/>
      <c r="BH40" s="678"/>
      <c r="BI40" s="677"/>
      <c r="BJ40" s="677"/>
      <c r="BK40" s="677"/>
      <c r="BL40" s="679"/>
      <c r="BM40" s="678"/>
      <c r="BN40" s="677"/>
      <c r="BO40" s="677"/>
      <c r="BP40" s="677"/>
      <c r="BQ40" s="679"/>
      <c r="BR40" s="678"/>
      <c r="BS40" s="677"/>
      <c r="BT40" s="677"/>
      <c r="BU40" s="677"/>
      <c r="BV40" s="679"/>
      <c r="BW40" s="678"/>
      <c r="BX40" s="677"/>
      <c r="BY40" s="677"/>
      <c r="BZ40" s="677"/>
      <c r="CA40" s="679"/>
      <c r="CB40" s="678"/>
      <c r="CC40" s="677"/>
      <c r="CD40" s="677"/>
      <c r="CE40" s="677"/>
      <c r="CF40" s="679"/>
      <c r="CG40" s="678"/>
      <c r="CH40" s="677"/>
      <c r="CI40" s="677"/>
      <c r="CJ40" s="677"/>
      <c r="CK40" s="679"/>
      <c r="CL40" s="678"/>
      <c r="CM40" s="677"/>
      <c r="CN40" s="677"/>
      <c r="CO40" s="677"/>
      <c r="CP40" s="679"/>
      <c r="CQ40" s="678"/>
      <c r="CR40" s="677"/>
      <c r="CS40" s="677"/>
      <c r="CT40" s="677"/>
      <c r="CU40" s="679"/>
      <c r="CV40" s="678"/>
      <c r="CW40" s="677"/>
      <c r="CX40" s="677"/>
      <c r="CY40" s="677"/>
      <c r="CZ40" s="679"/>
      <c r="DA40" s="678"/>
      <c r="DB40" s="677"/>
      <c r="DC40" s="677"/>
      <c r="DD40" s="677"/>
      <c r="DE40" s="679"/>
      <c r="DF40" s="678"/>
      <c r="DG40" s="677"/>
      <c r="DH40" s="677"/>
      <c r="DI40" s="677"/>
      <c r="DJ40" s="679"/>
      <c r="DK40" s="678"/>
      <c r="DL40" s="677"/>
      <c r="DM40" s="677"/>
      <c r="DN40" s="677"/>
      <c r="DO40" s="679"/>
      <c r="DP40" s="678"/>
      <c r="DQ40" s="677"/>
      <c r="DR40" s="677"/>
      <c r="DS40" s="677"/>
      <c r="DT40" s="679"/>
      <c r="DU40" s="678"/>
      <c r="DV40" s="677"/>
      <c r="DW40" s="677"/>
      <c r="DX40" s="677"/>
      <c r="DY40" s="679"/>
      <c r="DZ40" s="678"/>
      <c r="EA40" s="677"/>
      <c r="EB40" s="677"/>
      <c r="EC40" s="677"/>
      <c r="ED40" s="679"/>
      <c r="EE40" s="678"/>
      <c r="EF40" s="677"/>
      <c r="EG40" s="677"/>
      <c r="EH40" s="677"/>
      <c r="EI40" s="679"/>
      <c r="EJ40" s="678"/>
      <c r="EK40" s="677"/>
      <c r="EL40" s="677"/>
      <c r="EM40" s="677"/>
      <c r="EN40" s="679"/>
      <c r="EO40" s="678"/>
      <c r="EP40" s="677"/>
      <c r="EQ40" s="677"/>
      <c r="ER40" s="677"/>
      <c r="ES40" s="679"/>
      <c r="ET40" s="678"/>
      <c r="EU40" s="677"/>
      <c r="EV40" s="677"/>
      <c r="EW40" s="677"/>
      <c r="EX40" s="679"/>
      <c r="EY40" s="678"/>
      <c r="EZ40" s="677"/>
      <c r="FA40" s="677"/>
      <c r="FB40" s="677"/>
      <c r="FC40" s="679"/>
      <c r="FD40" s="678"/>
      <c r="FE40" s="677"/>
      <c r="FF40" s="677"/>
      <c r="FG40" s="677"/>
      <c r="FH40" s="679"/>
    </row>
    <row r="41" spans="2:164" ht="14.25" thickBot="1">
      <c r="B41" s="683" t="s">
        <v>983</v>
      </c>
      <c r="C41" s="683"/>
      <c r="D41" s="683"/>
      <c r="E41" s="683"/>
      <c r="F41" s="660">
        <f>'[1]基本 (1)'!L94</f>
        <v>16.899999999999999</v>
      </c>
      <c r="G41" s="660">
        <f>ROUND(F41*1.7,1)</f>
        <v>28.7</v>
      </c>
      <c r="H41" s="684" t="s">
        <v>1370</v>
      </c>
      <c r="I41" s="685" t="s">
        <v>1375</v>
      </c>
      <c r="J41" s="686">
        <v>14</v>
      </c>
      <c r="K41" s="687"/>
      <c r="L41" s="688"/>
      <c r="M41" s="688"/>
      <c r="N41" s="688"/>
      <c r="O41" s="689"/>
      <c r="P41" s="688"/>
      <c r="Q41" s="688"/>
      <c r="R41" s="688"/>
      <c r="S41" s="690"/>
      <c r="T41" s="689"/>
      <c r="U41" s="688"/>
      <c r="V41" s="688"/>
      <c r="W41" s="688"/>
      <c r="X41" s="690"/>
      <c r="Y41" s="689"/>
      <c r="Z41" s="688"/>
      <c r="AA41" s="688"/>
      <c r="AB41" s="688"/>
      <c r="AC41" s="690"/>
      <c r="AD41" s="689"/>
      <c r="AE41" s="688"/>
      <c r="AF41" s="688"/>
      <c r="AG41" s="688"/>
      <c r="AH41" s="690"/>
      <c r="AI41" s="689"/>
      <c r="AJ41" s="688"/>
      <c r="AK41" s="688"/>
      <c r="AL41" s="688"/>
      <c r="AM41" s="690"/>
      <c r="AN41" s="689"/>
      <c r="AO41" s="688"/>
      <c r="AP41" s="688"/>
      <c r="AQ41" s="688"/>
      <c r="AR41" s="690"/>
      <c r="AS41" s="689"/>
      <c r="AT41" s="688"/>
      <c r="AU41" s="688"/>
      <c r="AV41" s="688"/>
      <c r="AW41" s="690"/>
      <c r="AX41" s="689"/>
      <c r="AY41" s="688"/>
      <c r="AZ41" s="688"/>
      <c r="BA41" s="688"/>
      <c r="BB41" s="690"/>
      <c r="BC41" s="689"/>
      <c r="BD41" s="688"/>
      <c r="BE41" s="688"/>
      <c r="BF41" s="688"/>
      <c r="BG41" s="690"/>
      <c r="BH41" s="689"/>
      <c r="BI41" s="688"/>
      <c r="BJ41" s="688"/>
      <c r="BK41" s="688"/>
      <c r="BL41" s="690"/>
      <c r="BM41" s="689"/>
      <c r="BN41" s="688"/>
      <c r="BO41" s="688"/>
      <c r="BP41" s="688"/>
      <c r="BQ41" s="690"/>
      <c r="BR41" s="689"/>
      <c r="BS41" s="688"/>
      <c r="BT41" s="688"/>
      <c r="BU41" s="688"/>
      <c r="BV41" s="690"/>
      <c r="BW41" s="689"/>
      <c r="BX41" s="688"/>
      <c r="BY41" s="688"/>
      <c r="BZ41" s="688"/>
      <c r="CA41" s="690"/>
      <c r="CB41" s="689"/>
      <c r="CC41" s="688"/>
      <c r="CD41" s="688"/>
      <c r="CE41" s="688"/>
      <c r="CF41" s="690"/>
      <c r="CG41" s="689"/>
      <c r="CH41" s="688"/>
      <c r="CI41" s="688"/>
      <c r="CJ41" s="688"/>
      <c r="CK41" s="690"/>
      <c r="CL41" s="689"/>
      <c r="CM41" s="688"/>
      <c r="CN41" s="688"/>
      <c r="CO41" s="688"/>
      <c r="CP41" s="690"/>
      <c r="CQ41" s="693"/>
      <c r="CR41" s="691"/>
      <c r="CS41" s="691"/>
      <c r="CT41" s="691"/>
      <c r="CU41" s="692"/>
      <c r="CV41" s="693"/>
      <c r="CW41" s="691"/>
      <c r="CX41" s="691"/>
      <c r="CY41" s="691"/>
      <c r="CZ41" s="692"/>
      <c r="DA41" s="693"/>
      <c r="DB41" s="691"/>
      <c r="DC41" s="691"/>
      <c r="DD41" s="691"/>
      <c r="DE41" s="690"/>
      <c r="DF41" s="689"/>
      <c r="DG41" s="688"/>
      <c r="DH41" s="688"/>
      <c r="DI41" s="688"/>
      <c r="DJ41" s="690"/>
      <c r="DK41" s="689"/>
      <c r="DL41" s="688"/>
      <c r="DM41" s="688"/>
      <c r="DN41" s="688"/>
      <c r="DO41" s="690"/>
      <c r="DP41" s="689"/>
      <c r="DQ41" s="688"/>
      <c r="DR41" s="688"/>
      <c r="DS41" s="688"/>
      <c r="DT41" s="690"/>
      <c r="DU41" s="689"/>
      <c r="DV41" s="688"/>
      <c r="DW41" s="688"/>
      <c r="DX41" s="688"/>
      <c r="DY41" s="690"/>
      <c r="DZ41" s="689"/>
      <c r="EA41" s="688"/>
      <c r="EB41" s="688"/>
      <c r="EC41" s="688"/>
      <c r="ED41" s="690"/>
      <c r="EE41" s="689"/>
      <c r="EF41" s="688"/>
      <c r="EG41" s="688"/>
      <c r="EH41" s="688"/>
      <c r="EI41" s="690"/>
      <c r="EJ41" s="689"/>
      <c r="EK41" s="688"/>
      <c r="EL41" s="688"/>
      <c r="EM41" s="688"/>
      <c r="EN41" s="690"/>
      <c r="EO41" s="689"/>
      <c r="EP41" s="688"/>
      <c r="EQ41" s="688"/>
      <c r="ER41" s="688"/>
      <c r="ES41" s="690"/>
      <c r="ET41" s="689"/>
      <c r="EU41" s="688"/>
      <c r="EV41" s="688"/>
      <c r="EW41" s="688"/>
      <c r="EX41" s="690"/>
      <c r="EY41" s="689"/>
      <c r="EZ41" s="688"/>
      <c r="FA41" s="688"/>
      <c r="FB41" s="688"/>
      <c r="FC41" s="690"/>
      <c r="FD41" s="689"/>
      <c r="FE41" s="688"/>
      <c r="FF41" s="688"/>
      <c r="FG41" s="688"/>
      <c r="FH41" s="690"/>
    </row>
    <row r="42" spans="2:164">
      <c r="B42" s="670"/>
      <c r="C42" s="671"/>
      <c r="D42" s="671"/>
      <c r="E42" s="695"/>
      <c r="F42" s="672"/>
      <c r="G42" s="672"/>
      <c r="H42" s="673"/>
      <c r="I42" s="674"/>
      <c r="J42" s="675"/>
      <c r="K42" s="676"/>
      <c r="L42" s="677"/>
      <c r="M42" s="677"/>
      <c r="N42" s="677"/>
      <c r="O42" s="678"/>
      <c r="P42" s="677"/>
      <c r="Q42" s="677"/>
      <c r="R42" s="677"/>
      <c r="S42" s="679"/>
      <c r="T42" s="678"/>
      <c r="U42" s="677"/>
      <c r="V42" s="677"/>
      <c r="W42" s="677"/>
      <c r="X42" s="679"/>
      <c r="Y42" s="678"/>
      <c r="Z42" s="677"/>
      <c r="AA42" s="677"/>
      <c r="AB42" s="677"/>
      <c r="AC42" s="679"/>
      <c r="AD42" s="678"/>
      <c r="AE42" s="677"/>
      <c r="AF42" s="677"/>
      <c r="AG42" s="677"/>
      <c r="AH42" s="679"/>
      <c r="AI42" s="678"/>
      <c r="AJ42" s="677"/>
      <c r="AK42" s="677"/>
      <c r="AL42" s="677"/>
      <c r="AM42" s="679"/>
      <c r="AN42" s="678"/>
      <c r="AO42" s="677"/>
      <c r="AP42" s="677"/>
      <c r="AQ42" s="677"/>
      <c r="AR42" s="679"/>
      <c r="AS42" s="678"/>
      <c r="AT42" s="677"/>
      <c r="AU42" s="677"/>
      <c r="AV42" s="677"/>
      <c r="AW42" s="679"/>
      <c r="AX42" s="678"/>
      <c r="AY42" s="677"/>
      <c r="AZ42" s="677"/>
      <c r="BA42" s="677"/>
      <c r="BB42" s="679"/>
      <c r="BC42" s="678"/>
      <c r="BD42" s="677"/>
      <c r="BE42" s="677"/>
      <c r="BF42" s="677"/>
      <c r="BG42" s="679"/>
      <c r="BH42" s="678"/>
      <c r="BI42" s="677"/>
      <c r="BJ42" s="677"/>
      <c r="BK42" s="677"/>
      <c r="BL42" s="679"/>
      <c r="BM42" s="678"/>
      <c r="BN42" s="677"/>
      <c r="BO42" s="677"/>
      <c r="BP42" s="677"/>
      <c r="BQ42" s="679"/>
      <c r="BR42" s="678"/>
      <c r="BS42" s="677"/>
      <c r="BT42" s="677"/>
      <c r="BU42" s="677"/>
      <c r="BV42" s="679"/>
      <c r="BW42" s="678"/>
      <c r="BX42" s="677"/>
      <c r="BY42" s="677"/>
      <c r="BZ42" s="677"/>
      <c r="CA42" s="679"/>
      <c r="CB42" s="678"/>
      <c r="CC42" s="677"/>
      <c r="CD42" s="677"/>
      <c r="CE42" s="677"/>
      <c r="CF42" s="679"/>
      <c r="CG42" s="678"/>
      <c r="CH42" s="677"/>
      <c r="CI42" s="677"/>
      <c r="CJ42" s="677"/>
      <c r="CK42" s="679"/>
      <c r="CL42" s="678"/>
      <c r="CM42" s="677"/>
      <c r="CN42" s="677"/>
      <c r="CO42" s="677"/>
      <c r="CP42" s="679"/>
      <c r="CQ42" s="678"/>
      <c r="CR42" s="677"/>
      <c r="CS42" s="677"/>
      <c r="CT42" s="677"/>
      <c r="CU42" s="679"/>
      <c r="CV42" s="678"/>
      <c r="CW42" s="677"/>
      <c r="CX42" s="677"/>
      <c r="CY42" s="677"/>
      <c r="CZ42" s="679"/>
      <c r="DA42" s="678"/>
      <c r="DB42" s="677"/>
      <c r="DC42" s="677"/>
      <c r="DD42" s="677"/>
      <c r="DE42" s="679"/>
      <c r="DF42" s="678"/>
      <c r="DG42" s="677"/>
      <c r="DH42" s="677"/>
      <c r="DI42" s="677"/>
      <c r="DJ42" s="679"/>
      <c r="DK42" s="678"/>
      <c r="DL42" s="677"/>
      <c r="DM42" s="677"/>
      <c r="DN42" s="677"/>
      <c r="DO42" s="679"/>
      <c r="DP42" s="678"/>
      <c r="DQ42" s="677"/>
      <c r="DR42" s="677"/>
      <c r="DS42" s="677"/>
      <c r="DT42" s="679"/>
      <c r="DU42" s="678"/>
      <c r="DV42" s="677"/>
      <c r="DW42" s="677"/>
      <c r="DX42" s="677"/>
      <c r="DY42" s="679"/>
      <c r="DZ42" s="678"/>
      <c r="EA42" s="677"/>
      <c r="EB42" s="677"/>
      <c r="EC42" s="677"/>
      <c r="ED42" s="679"/>
      <c r="EE42" s="678"/>
      <c r="EF42" s="677"/>
      <c r="EG42" s="677"/>
      <c r="EH42" s="677"/>
      <c r="EI42" s="679"/>
      <c r="EJ42" s="678"/>
      <c r="EK42" s="677"/>
      <c r="EL42" s="677"/>
      <c r="EM42" s="677"/>
      <c r="EN42" s="679"/>
      <c r="EO42" s="678"/>
      <c r="EP42" s="677"/>
      <c r="EQ42" s="677"/>
      <c r="ER42" s="677"/>
      <c r="ES42" s="679"/>
      <c r="ET42" s="678"/>
      <c r="EU42" s="677"/>
      <c r="EV42" s="677"/>
      <c r="EW42" s="677"/>
      <c r="EX42" s="679"/>
      <c r="EY42" s="678"/>
      <c r="EZ42" s="677"/>
      <c r="FA42" s="677"/>
      <c r="FB42" s="677"/>
      <c r="FC42" s="679"/>
      <c r="FD42" s="678"/>
      <c r="FE42" s="677"/>
      <c r="FF42" s="677"/>
      <c r="FG42" s="677"/>
      <c r="FH42" s="679"/>
    </row>
    <row r="43" spans="2:164" ht="14.25" thickBot="1">
      <c r="B43" s="683" t="s">
        <v>985</v>
      </c>
      <c r="C43" s="683"/>
      <c r="D43" s="683"/>
      <c r="E43" s="683"/>
      <c r="F43" s="660">
        <f>'[1]基本 (1)'!L95</f>
        <v>6.5</v>
      </c>
      <c r="G43" s="660">
        <f>ROUND(F43*1.7,1)</f>
        <v>11.1</v>
      </c>
      <c r="H43" s="684" t="s">
        <v>1360</v>
      </c>
      <c r="I43" s="685">
        <f>ROUND(G43*2/3,1)</f>
        <v>7.4</v>
      </c>
      <c r="J43" s="686">
        <v>13</v>
      </c>
      <c r="K43" s="687"/>
      <c r="L43" s="688"/>
      <c r="M43" s="688"/>
      <c r="N43" s="688"/>
      <c r="O43" s="689"/>
      <c r="P43" s="688"/>
      <c r="Q43" s="688"/>
      <c r="R43" s="688"/>
      <c r="S43" s="690"/>
      <c r="T43" s="689"/>
      <c r="U43" s="688"/>
      <c r="V43" s="688"/>
      <c r="W43" s="688"/>
      <c r="X43" s="690"/>
      <c r="Y43" s="689"/>
      <c r="Z43" s="688"/>
      <c r="AA43" s="688"/>
      <c r="AB43" s="688"/>
      <c r="AC43" s="690"/>
      <c r="AD43" s="689"/>
      <c r="AE43" s="688"/>
      <c r="AF43" s="688"/>
      <c r="AG43" s="688"/>
      <c r="AH43" s="690"/>
      <c r="AI43" s="689"/>
      <c r="AJ43" s="688"/>
      <c r="AK43" s="688"/>
      <c r="AL43" s="688"/>
      <c r="AM43" s="690"/>
      <c r="AN43" s="689"/>
      <c r="AO43" s="688"/>
      <c r="AP43" s="688"/>
      <c r="AQ43" s="688"/>
      <c r="AR43" s="690"/>
      <c r="AS43" s="689"/>
      <c r="AT43" s="688"/>
      <c r="AU43" s="688"/>
      <c r="AV43" s="688"/>
      <c r="AW43" s="690"/>
      <c r="AX43" s="689"/>
      <c r="AY43" s="688"/>
      <c r="AZ43" s="688"/>
      <c r="BA43" s="688"/>
      <c r="BB43" s="690"/>
      <c r="BC43" s="689"/>
      <c r="BD43" s="688"/>
      <c r="BE43" s="688"/>
      <c r="BF43" s="688"/>
      <c r="BG43" s="690"/>
      <c r="BH43" s="689"/>
      <c r="BI43" s="688"/>
      <c r="BJ43" s="688"/>
      <c r="BK43" s="688"/>
      <c r="BL43" s="690"/>
      <c r="BM43" s="689"/>
      <c r="BN43" s="688"/>
      <c r="BO43" s="688"/>
      <c r="BP43" s="688"/>
      <c r="BQ43" s="690"/>
      <c r="BR43" s="689"/>
      <c r="BS43" s="688"/>
      <c r="BT43" s="688"/>
      <c r="BU43" s="688"/>
      <c r="BV43" s="690"/>
      <c r="BW43" s="689"/>
      <c r="BX43" s="688"/>
      <c r="BY43" s="688"/>
      <c r="BZ43" s="688"/>
      <c r="CA43" s="690"/>
      <c r="CB43" s="689"/>
      <c r="CC43" s="688"/>
      <c r="CD43" s="688"/>
      <c r="CE43" s="688"/>
      <c r="CF43" s="690"/>
      <c r="CG43" s="689"/>
      <c r="CH43" s="688"/>
      <c r="CI43" s="688"/>
      <c r="CJ43" s="688"/>
      <c r="CK43" s="690"/>
      <c r="CL43" s="689"/>
      <c r="CM43" s="691"/>
      <c r="CN43" s="691"/>
      <c r="CO43" s="691"/>
      <c r="CP43" s="692"/>
      <c r="CQ43" s="689"/>
      <c r="CR43" s="688"/>
      <c r="CS43" s="688"/>
      <c r="CT43" s="688"/>
      <c r="CU43" s="690"/>
      <c r="CV43" s="689"/>
      <c r="CW43" s="688"/>
      <c r="CX43" s="688"/>
      <c r="CY43" s="688"/>
      <c r="CZ43" s="690"/>
      <c r="DA43" s="689"/>
      <c r="DB43" s="688"/>
      <c r="DC43" s="688"/>
      <c r="DD43" s="688"/>
      <c r="DE43" s="690"/>
      <c r="DF43" s="689"/>
      <c r="DG43" s="688"/>
      <c r="DH43" s="688"/>
      <c r="DI43" s="688"/>
      <c r="DJ43" s="690"/>
      <c r="DK43" s="689"/>
      <c r="DL43" s="688"/>
      <c r="DM43" s="688"/>
      <c r="DN43" s="688"/>
      <c r="DO43" s="690"/>
      <c r="DP43" s="693"/>
      <c r="DQ43" s="691"/>
      <c r="DR43" s="688"/>
      <c r="DS43" s="688"/>
      <c r="DT43" s="690"/>
      <c r="DU43" s="689"/>
      <c r="DV43" s="688"/>
      <c r="DW43" s="688"/>
      <c r="DX43" s="688"/>
      <c r="DY43" s="690"/>
      <c r="DZ43" s="689"/>
      <c r="EA43" s="688"/>
      <c r="EB43" s="688"/>
      <c r="EC43" s="688"/>
      <c r="ED43" s="690"/>
      <c r="EE43" s="689"/>
      <c r="EF43" s="688"/>
      <c r="EG43" s="688"/>
      <c r="EH43" s="688"/>
      <c r="EI43" s="690"/>
      <c r="EJ43" s="689"/>
      <c r="EK43" s="688"/>
      <c r="EL43" s="688"/>
      <c r="EM43" s="688"/>
      <c r="EN43" s="690"/>
      <c r="EO43" s="689"/>
      <c r="EP43" s="688"/>
      <c r="EQ43" s="688"/>
      <c r="ER43" s="688"/>
      <c r="ES43" s="690"/>
      <c r="ET43" s="689"/>
      <c r="EU43" s="688"/>
      <c r="EV43" s="688"/>
      <c r="EW43" s="688"/>
      <c r="EX43" s="690"/>
      <c r="EY43" s="689"/>
      <c r="EZ43" s="688"/>
      <c r="FA43" s="688"/>
      <c r="FB43" s="688"/>
      <c r="FC43" s="690"/>
      <c r="FD43" s="689"/>
      <c r="FE43" s="688"/>
      <c r="FF43" s="688"/>
      <c r="FG43" s="688"/>
      <c r="FH43" s="690"/>
    </row>
    <row r="44" spans="2:164">
      <c r="B44" s="670"/>
      <c r="C44" s="671"/>
      <c r="D44" s="671"/>
      <c r="E44" s="695"/>
      <c r="F44" s="672"/>
      <c r="G44" s="672"/>
      <c r="H44" s="673" t="s">
        <v>1361</v>
      </c>
      <c r="I44" s="674">
        <f>ROUND(G43*1/3,1)</f>
        <v>3.7</v>
      </c>
      <c r="J44" s="675">
        <v>16</v>
      </c>
      <c r="K44" s="676"/>
      <c r="L44" s="677"/>
      <c r="M44" s="677"/>
      <c r="N44" s="677"/>
      <c r="O44" s="678"/>
      <c r="P44" s="677"/>
      <c r="Q44" s="677"/>
      <c r="R44" s="677"/>
      <c r="S44" s="679"/>
      <c r="T44" s="678"/>
      <c r="U44" s="677"/>
      <c r="V44" s="677"/>
      <c r="W44" s="677"/>
      <c r="X44" s="679"/>
      <c r="Y44" s="678"/>
      <c r="Z44" s="677"/>
      <c r="AA44" s="677"/>
      <c r="AB44" s="677"/>
      <c r="AC44" s="679"/>
      <c r="AD44" s="678"/>
      <c r="AE44" s="677"/>
      <c r="AF44" s="677"/>
      <c r="AG44" s="677"/>
      <c r="AH44" s="679"/>
      <c r="AI44" s="678"/>
      <c r="AJ44" s="677"/>
      <c r="AK44" s="677"/>
      <c r="AL44" s="677"/>
      <c r="AM44" s="679"/>
      <c r="AN44" s="678"/>
      <c r="AO44" s="677"/>
      <c r="AP44" s="677"/>
      <c r="AQ44" s="677"/>
      <c r="AR44" s="679"/>
      <c r="AS44" s="678"/>
      <c r="AT44" s="677"/>
      <c r="AU44" s="677"/>
      <c r="AV44" s="677"/>
      <c r="AW44" s="679"/>
      <c r="AX44" s="678"/>
      <c r="AY44" s="677"/>
      <c r="AZ44" s="677"/>
      <c r="BA44" s="677"/>
      <c r="BB44" s="679"/>
      <c r="BC44" s="678"/>
      <c r="BD44" s="677"/>
      <c r="BE44" s="677"/>
      <c r="BF44" s="677"/>
      <c r="BG44" s="679"/>
      <c r="BH44" s="678"/>
      <c r="BI44" s="677"/>
      <c r="BJ44" s="677"/>
      <c r="BK44" s="677"/>
      <c r="BL44" s="679"/>
      <c r="BM44" s="678"/>
      <c r="BN44" s="677"/>
      <c r="BO44" s="677"/>
      <c r="BP44" s="677"/>
      <c r="BQ44" s="679"/>
      <c r="BR44" s="678"/>
      <c r="BS44" s="677"/>
      <c r="BT44" s="677"/>
      <c r="BU44" s="677"/>
      <c r="BV44" s="679"/>
      <c r="BW44" s="678"/>
      <c r="BX44" s="677"/>
      <c r="BY44" s="677"/>
      <c r="BZ44" s="677"/>
      <c r="CA44" s="679"/>
      <c r="CB44" s="678"/>
      <c r="CC44" s="677"/>
      <c r="CD44" s="677"/>
      <c r="CE44" s="677"/>
      <c r="CF44" s="679"/>
      <c r="CG44" s="678"/>
      <c r="CH44" s="677"/>
      <c r="CI44" s="677"/>
      <c r="CJ44" s="677"/>
      <c r="CK44" s="679"/>
      <c r="CL44" s="678"/>
      <c r="CM44" s="677"/>
      <c r="CN44" s="677"/>
      <c r="CO44" s="677"/>
      <c r="CP44" s="679"/>
      <c r="CQ44" s="678"/>
      <c r="CR44" s="677"/>
      <c r="CS44" s="677"/>
      <c r="CT44" s="677"/>
      <c r="CU44" s="679"/>
      <c r="CV44" s="678"/>
      <c r="CW44" s="677"/>
      <c r="CX44" s="677"/>
      <c r="CY44" s="677"/>
      <c r="CZ44" s="679"/>
      <c r="DA44" s="678"/>
      <c r="DB44" s="677"/>
      <c r="DC44" s="677"/>
      <c r="DD44" s="677"/>
      <c r="DE44" s="679"/>
      <c r="DF44" s="678"/>
      <c r="DG44" s="677"/>
      <c r="DH44" s="677"/>
      <c r="DI44" s="677"/>
      <c r="DJ44" s="679"/>
      <c r="DK44" s="678"/>
      <c r="DL44" s="677"/>
      <c r="DM44" s="677"/>
      <c r="DN44" s="677"/>
      <c r="DO44" s="679"/>
      <c r="DP44" s="678"/>
      <c r="DQ44" s="677"/>
      <c r="DR44" s="677"/>
      <c r="DS44" s="677"/>
      <c r="DT44" s="679"/>
      <c r="DU44" s="678"/>
      <c r="DV44" s="677"/>
      <c r="DW44" s="677"/>
      <c r="DX44" s="677"/>
      <c r="DY44" s="679"/>
      <c r="DZ44" s="678"/>
      <c r="EA44" s="677"/>
      <c r="EB44" s="677"/>
      <c r="EC44" s="677"/>
      <c r="ED44" s="679"/>
      <c r="EE44" s="678"/>
      <c r="EF44" s="677"/>
      <c r="EG44" s="677"/>
      <c r="EH44" s="677"/>
      <c r="EI44" s="679"/>
      <c r="EJ44" s="678"/>
      <c r="EK44" s="677"/>
      <c r="EL44" s="677"/>
      <c r="EM44" s="677"/>
      <c r="EN44" s="679"/>
      <c r="EO44" s="678"/>
      <c r="EP44" s="677"/>
      <c r="EQ44" s="677"/>
      <c r="ER44" s="677"/>
      <c r="ES44" s="679"/>
      <c r="ET44" s="678"/>
      <c r="EU44" s="677"/>
      <c r="EV44" s="677"/>
      <c r="EW44" s="677"/>
      <c r="EX44" s="679"/>
      <c r="EY44" s="678"/>
      <c r="EZ44" s="677"/>
      <c r="FA44" s="677"/>
      <c r="FB44" s="677"/>
      <c r="FC44" s="679"/>
      <c r="FD44" s="678"/>
      <c r="FE44" s="677"/>
      <c r="FF44" s="677"/>
      <c r="FG44" s="677"/>
      <c r="FH44" s="679"/>
    </row>
    <row r="45" spans="2:164" ht="14.25" thickBot="1">
      <c r="B45" s="683" t="s">
        <v>1376</v>
      </c>
      <c r="C45" s="683"/>
      <c r="D45" s="683"/>
      <c r="E45" s="658"/>
      <c r="F45" s="660">
        <f>'[1]基本 (1)'!L96</f>
        <v>3.5</v>
      </c>
      <c r="G45" s="660">
        <f>ROUND(F45*1.7,1)</f>
        <v>6</v>
      </c>
      <c r="H45" s="684" t="s">
        <v>1370</v>
      </c>
      <c r="I45" s="685" t="s">
        <v>1370</v>
      </c>
      <c r="J45" s="663">
        <v>7</v>
      </c>
      <c r="K45" s="664"/>
      <c r="L45" s="299"/>
      <c r="M45" s="299"/>
      <c r="N45" s="299"/>
      <c r="O45" s="665"/>
      <c r="P45" s="299"/>
      <c r="Q45" s="299"/>
      <c r="R45" s="299"/>
      <c r="S45" s="666"/>
      <c r="T45" s="665"/>
      <c r="U45" s="299"/>
      <c r="V45" s="299"/>
      <c r="W45" s="299"/>
      <c r="X45" s="666"/>
      <c r="Y45" s="665"/>
      <c r="Z45" s="299"/>
      <c r="AA45" s="299"/>
      <c r="AB45" s="299"/>
      <c r="AC45" s="666"/>
      <c r="AD45" s="665"/>
      <c r="AE45" s="299"/>
      <c r="AF45" s="299"/>
      <c r="AG45" s="299"/>
      <c r="AH45" s="666"/>
      <c r="AI45" s="665"/>
      <c r="AJ45" s="299"/>
      <c r="AK45" s="299"/>
      <c r="AL45" s="299"/>
      <c r="AM45" s="666"/>
      <c r="AN45" s="665"/>
      <c r="AO45" s="299"/>
      <c r="AP45" s="299"/>
      <c r="AQ45" s="299"/>
      <c r="AR45" s="666"/>
      <c r="AS45" s="665"/>
      <c r="AT45" s="299"/>
      <c r="AU45" s="299"/>
      <c r="AV45" s="299"/>
      <c r="AW45" s="666"/>
      <c r="AX45" s="665"/>
      <c r="AY45" s="299"/>
      <c r="AZ45" s="299"/>
      <c r="BA45" s="299"/>
      <c r="BB45" s="666"/>
      <c r="BC45" s="665"/>
      <c r="BD45" s="299"/>
      <c r="BE45" s="299"/>
      <c r="BF45" s="299"/>
      <c r="BG45" s="666"/>
      <c r="BH45" s="665"/>
      <c r="BI45" s="299"/>
      <c r="BJ45" s="299"/>
      <c r="BK45" s="299"/>
      <c r="BL45" s="666"/>
      <c r="BM45" s="693"/>
      <c r="BN45" s="691"/>
      <c r="BO45" s="691"/>
      <c r="BP45" s="299"/>
      <c r="BQ45" s="666"/>
      <c r="BR45" s="665"/>
      <c r="BS45" s="299"/>
      <c r="BT45" s="299"/>
      <c r="BU45" s="299"/>
      <c r="BV45" s="666"/>
      <c r="BW45" s="665"/>
      <c r="BX45" s="299"/>
      <c r="BY45" s="299"/>
      <c r="BZ45" s="299"/>
      <c r="CA45" s="666"/>
      <c r="CB45" s="665"/>
      <c r="CC45" s="299"/>
      <c r="CD45" s="299"/>
      <c r="CE45" s="299"/>
      <c r="CF45" s="666"/>
      <c r="CG45" s="665"/>
      <c r="CH45" s="299"/>
      <c r="CI45" s="299"/>
      <c r="CJ45" s="299"/>
      <c r="CK45" s="666"/>
      <c r="CL45" s="665"/>
      <c r="CM45" s="299"/>
      <c r="CN45" s="299"/>
      <c r="CO45" s="299"/>
      <c r="CP45" s="666"/>
      <c r="CQ45" s="665"/>
      <c r="CR45" s="299"/>
      <c r="CS45" s="299"/>
      <c r="CT45" s="299"/>
      <c r="CU45" s="666"/>
      <c r="CV45" s="665"/>
      <c r="CW45" s="299"/>
      <c r="CX45" s="299"/>
      <c r="CY45" s="299"/>
      <c r="CZ45" s="666"/>
      <c r="DA45" s="665"/>
      <c r="DB45" s="299"/>
      <c r="DC45" s="299"/>
      <c r="DD45" s="299"/>
      <c r="DE45" s="666"/>
      <c r="DF45" s="665"/>
      <c r="DG45" s="299"/>
      <c r="DH45" s="299"/>
      <c r="DI45" s="299"/>
      <c r="DJ45" s="666"/>
      <c r="DK45" s="665"/>
      <c r="DL45" s="299"/>
      <c r="DM45" s="299"/>
      <c r="DN45" s="299"/>
      <c r="DO45" s="666"/>
      <c r="DP45" s="665"/>
      <c r="DQ45" s="299"/>
      <c r="DR45" s="299"/>
      <c r="DS45" s="299"/>
      <c r="DT45" s="666"/>
      <c r="DU45" s="665"/>
      <c r="DV45" s="299"/>
      <c r="DW45" s="299"/>
      <c r="DX45" s="299"/>
      <c r="DY45" s="666"/>
      <c r="DZ45" s="665"/>
      <c r="EA45" s="299"/>
      <c r="EB45" s="299"/>
      <c r="EC45" s="299"/>
      <c r="ED45" s="666"/>
      <c r="EE45" s="665"/>
      <c r="EF45" s="299"/>
      <c r="EG45" s="299"/>
      <c r="EH45" s="299"/>
      <c r="EI45" s="666"/>
      <c r="EJ45" s="665"/>
      <c r="EK45" s="299"/>
      <c r="EL45" s="299"/>
      <c r="EM45" s="299"/>
      <c r="EN45" s="666"/>
      <c r="EO45" s="665"/>
      <c r="EP45" s="299"/>
      <c r="EQ45" s="299"/>
      <c r="ER45" s="299"/>
      <c r="ES45" s="666"/>
      <c r="ET45" s="665"/>
      <c r="EU45" s="299"/>
      <c r="EV45" s="299"/>
      <c r="EW45" s="299"/>
      <c r="EX45" s="666"/>
      <c r="EY45" s="665"/>
      <c r="EZ45" s="299"/>
      <c r="FA45" s="299"/>
      <c r="FB45" s="299"/>
      <c r="FC45" s="666"/>
      <c r="FD45" s="665"/>
      <c r="FE45" s="299"/>
      <c r="FF45" s="299"/>
      <c r="FG45" s="299"/>
      <c r="FH45" s="666"/>
    </row>
    <row r="46" spans="2:164">
      <c r="B46" s="670"/>
      <c r="C46" s="671"/>
      <c r="D46" s="671"/>
      <c r="E46" s="671"/>
      <c r="F46" s="672"/>
      <c r="G46" s="672"/>
      <c r="H46" s="673"/>
      <c r="I46" s="674"/>
      <c r="J46" s="663"/>
      <c r="K46" s="664"/>
      <c r="L46" s="299"/>
      <c r="M46" s="299"/>
      <c r="N46" s="299"/>
      <c r="O46" s="665"/>
      <c r="P46" s="299"/>
      <c r="Q46" s="299"/>
      <c r="R46" s="299"/>
      <c r="S46" s="666"/>
      <c r="T46" s="665"/>
      <c r="U46" s="299"/>
      <c r="V46" s="299"/>
      <c r="W46" s="299"/>
      <c r="X46" s="666"/>
      <c r="Y46" s="665"/>
      <c r="Z46" s="299"/>
      <c r="AA46" s="299"/>
      <c r="AB46" s="299"/>
      <c r="AC46" s="666"/>
      <c r="AD46" s="665"/>
      <c r="AE46" s="299"/>
      <c r="AF46" s="299"/>
      <c r="AG46" s="299"/>
      <c r="AH46" s="666"/>
      <c r="AI46" s="665"/>
      <c r="AJ46" s="299"/>
      <c r="AK46" s="299"/>
      <c r="AL46" s="299"/>
      <c r="AM46" s="666"/>
      <c r="AN46" s="665"/>
      <c r="AO46" s="299"/>
      <c r="AP46" s="299"/>
      <c r="AQ46" s="299"/>
      <c r="AR46" s="666"/>
      <c r="AS46" s="665"/>
      <c r="AT46" s="299"/>
      <c r="AU46" s="299"/>
      <c r="AV46" s="299"/>
      <c r="AW46" s="666"/>
      <c r="AX46" s="665"/>
      <c r="AY46" s="299"/>
      <c r="AZ46" s="299"/>
      <c r="BA46" s="299"/>
      <c r="BB46" s="666"/>
      <c r="BC46" s="665"/>
      <c r="BD46" s="299"/>
      <c r="BE46" s="299"/>
      <c r="BF46" s="299"/>
      <c r="BG46" s="666"/>
      <c r="BH46" s="665"/>
      <c r="BI46" s="299"/>
      <c r="BJ46" s="299"/>
      <c r="BK46" s="299"/>
      <c r="BL46" s="666"/>
      <c r="BM46" s="665"/>
      <c r="BN46" s="299"/>
      <c r="BO46" s="299"/>
      <c r="BP46" s="299"/>
      <c r="BQ46" s="666"/>
      <c r="BR46" s="665"/>
      <c r="BS46" s="299"/>
      <c r="BT46" s="299"/>
      <c r="BU46" s="299"/>
      <c r="BV46" s="666"/>
      <c r="BW46" s="665"/>
      <c r="BX46" s="299"/>
      <c r="BY46" s="299"/>
      <c r="BZ46" s="299"/>
      <c r="CA46" s="666"/>
      <c r="CB46" s="665"/>
      <c r="CC46" s="299"/>
      <c r="CD46" s="299"/>
      <c r="CE46" s="299"/>
      <c r="CF46" s="666"/>
      <c r="CG46" s="665"/>
      <c r="CH46" s="299"/>
      <c r="CI46" s="299"/>
      <c r="CJ46" s="299"/>
      <c r="CK46" s="666"/>
      <c r="CL46" s="665"/>
      <c r="CM46" s="299"/>
      <c r="CN46" s="299"/>
      <c r="CO46" s="299"/>
      <c r="CP46" s="666"/>
      <c r="CQ46" s="665"/>
      <c r="CR46" s="299"/>
      <c r="CS46" s="299"/>
      <c r="CT46" s="299"/>
      <c r="CU46" s="666"/>
      <c r="CV46" s="665"/>
      <c r="CW46" s="299"/>
      <c r="CX46" s="299"/>
      <c r="CY46" s="299"/>
      <c r="CZ46" s="666"/>
      <c r="DA46" s="665"/>
      <c r="DB46" s="299"/>
      <c r="DC46" s="299"/>
      <c r="DD46" s="299"/>
      <c r="DE46" s="666"/>
      <c r="DF46" s="665"/>
      <c r="DG46" s="299"/>
      <c r="DH46" s="299"/>
      <c r="DI46" s="299"/>
      <c r="DJ46" s="666"/>
      <c r="DK46" s="665"/>
      <c r="DL46" s="299"/>
      <c r="DM46" s="299"/>
      <c r="DN46" s="299"/>
      <c r="DO46" s="666"/>
      <c r="DP46" s="665"/>
      <c r="DQ46" s="299"/>
      <c r="DR46" s="299"/>
      <c r="DS46" s="299"/>
      <c r="DT46" s="666"/>
      <c r="DU46" s="665"/>
      <c r="DV46" s="299"/>
      <c r="DW46" s="299"/>
      <c r="DX46" s="299"/>
      <c r="DY46" s="666"/>
      <c r="DZ46" s="665"/>
      <c r="EA46" s="299"/>
      <c r="EB46" s="299"/>
      <c r="EC46" s="299"/>
      <c r="ED46" s="666"/>
      <c r="EE46" s="665"/>
      <c r="EF46" s="299"/>
      <c r="EG46" s="299"/>
      <c r="EH46" s="299"/>
      <c r="EI46" s="666"/>
      <c r="EJ46" s="665"/>
      <c r="EK46" s="299"/>
      <c r="EL46" s="299"/>
      <c r="EM46" s="299"/>
      <c r="EN46" s="666"/>
      <c r="EO46" s="665"/>
      <c r="EP46" s="299"/>
      <c r="EQ46" s="299"/>
      <c r="ER46" s="299"/>
      <c r="ES46" s="666"/>
      <c r="ET46" s="665"/>
      <c r="EU46" s="299"/>
      <c r="EV46" s="299"/>
      <c r="EW46" s="299"/>
      <c r="EX46" s="666"/>
      <c r="EY46" s="665"/>
      <c r="EZ46" s="299"/>
      <c r="FA46" s="299"/>
      <c r="FB46" s="299"/>
      <c r="FC46" s="666"/>
      <c r="FD46" s="665"/>
      <c r="FE46" s="299"/>
      <c r="FF46" s="299"/>
      <c r="FG46" s="299"/>
      <c r="FH46" s="666"/>
    </row>
    <row r="47" spans="2:164" ht="14.25" thickBot="1">
      <c r="B47" s="683" t="s">
        <v>990</v>
      </c>
      <c r="C47" s="683"/>
      <c r="D47" s="683"/>
      <c r="E47" s="658"/>
      <c r="F47" s="660">
        <f>'[1]基本 (1)'!L97</f>
        <v>12.7</v>
      </c>
      <c r="G47" s="660">
        <f>ROUND(F47*1.7,1)</f>
        <v>21.6</v>
      </c>
      <c r="H47" s="684" t="s">
        <v>1370</v>
      </c>
      <c r="I47" s="685" t="s">
        <v>1370</v>
      </c>
      <c r="J47" s="686">
        <v>15</v>
      </c>
      <c r="K47" s="687"/>
      <c r="L47" s="688"/>
      <c r="M47" s="688"/>
      <c r="N47" s="688"/>
      <c r="O47" s="689"/>
      <c r="P47" s="688"/>
      <c r="Q47" s="688"/>
      <c r="R47" s="688"/>
      <c r="S47" s="690"/>
      <c r="T47" s="689"/>
      <c r="U47" s="688"/>
      <c r="V47" s="688"/>
      <c r="W47" s="688"/>
      <c r="X47" s="690"/>
      <c r="Y47" s="689"/>
      <c r="Z47" s="688"/>
      <c r="AA47" s="688"/>
      <c r="AB47" s="688"/>
      <c r="AC47" s="690"/>
      <c r="AD47" s="689"/>
      <c r="AE47" s="688"/>
      <c r="AF47" s="688"/>
      <c r="AG47" s="688"/>
      <c r="AH47" s="690"/>
      <c r="AI47" s="689"/>
      <c r="AJ47" s="688"/>
      <c r="AK47" s="688"/>
      <c r="AL47" s="688"/>
      <c r="AM47" s="690"/>
      <c r="AN47" s="689"/>
      <c r="AO47" s="688"/>
      <c r="AP47" s="688"/>
      <c r="AQ47" s="688"/>
      <c r="AR47" s="690"/>
      <c r="AS47" s="689"/>
      <c r="AT47" s="688"/>
      <c r="AU47" s="688"/>
      <c r="AV47" s="688"/>
      <c r="AW47" s="690"/>
      <c r="AX47" s="689"/>
      <c r="AY47" s="688"/>
      <c r="AZ47" s="688"/>
      <c r="BA47" s="688"/>
      <c r="BB47" s="690"/>
      <c r="BC47" s="689"/>
      <c r="BD47" s="688"/>
      <c r="BE47" s="688"/>
      <c r="BF47" s="688"/>
      <c r="BG47" s="690"/>
      <c r="BH47" s="689"/>
      <c r="BI47" s="688"/>
      <c r="BJ47" s="688"/>
      <c r="BK47" s="688"/>
      <c r="BL47" s="690"/>
      <c r="BM47" s="689"/>
      <c r="BN47" s="688"/>
      <c r="BO47" s="688"/>
      <c r="BP47" s="688"/>
      <c r="BQ47" s="690"/>
      <c r="BR47" s="689"/>
      <c r="BS47" s="688"/>
      <c r="BT47" s="688"/>
      <c r="BU47" s="688"/>
      <c r="BV47" s="690"/>
      <c r="BW47" s="689"/>
      <c r="BX47" s="688"/>
      <c r="BY47" s="688"/>
      <c r="BZ47" s="688"/>
      <c r="CA47" s="690"/>
      <c r="CB47" s="689"/>
      <c r="CC47" s="688"/>
      <c r="CD47" s="688"/>
      <c r="CE47" s="688"/>
      <c r="CF47" s="690"/>
      <c r="CG47" s="689"/>
      <c r="CH47" s="688"/>
      <c r="CI47" s="688"/>
      <c r="CJ47" s="688"/>
      <c r="CK47" s="690"/>
      <c r="CL47" s="689"/>
      <c r="CM47" s="688"/>
      <c r="CN47" s="688"/>
      <c r="CO47" s="688"/>
      <c r="CP47" s="690"/>
      <c r="CQ47" s="689"/>
      <c r="CR47" s="688"/>
      <c r="CS47" s="688"/>
      <c r="CT47" s="688"/>
      <c r="CU47" s="690"/>
      <c r="CV47" s="689"/>
      <c r="CW47" s="688"/>
      <c r="CX47" s="688"/>
      <c r="CY47" s="688"/>
      <c r="CZ47" s="690"/>
      <c r="DA47" s="689"/>
      <c r="DB47" s="688"/>
      <c r="DC47" s="688"/>
      <c r="DD47" s="688"/>
      <c r="DE47" s="692"/>
      <c r="DF47" s="693"/>
      <c r="DG47" s="691"/>
      <c r="DH47" s="691"/>
      <c r="DI47" s="691"/>
      <c r="DJ47" s="692"/>
      <c r="DK47" s="693"/>
      <c r="DL47" s="691"/>
      <c r="DM47" s="691"/>
      <c r="DN47" s="691"/>
      <c r="DO47" s="692"/>
      <c r="DP47" s="689"/>
      <c r="DQ47" s="688"/>
      <c r="DR47" s="688"/>
      <c r="DS47" s="688"/>
      <c r="DT47" s="690"/>
      <c r="DU47" s="689"/>
      <c r="DV47" s="688"/>
      <c r="DW47" s="688"/>
      <c r="DX47" s="688"/>
      <c r="DY47" s="690"/>
      <c r="DZ47" s="689"/>
      <c r="EA47" s="688"/>
      <c r="EB47" s="688"/>
      <c r="EC47" s="688"/>
      <c r="ED47" s="690"/>
      <c r="EE47" s="689"/>
      <c r="EF47" s="688"/>
      <c r="EG47" s="688"/>
      <c r="EH47" s="688"/>
      <c r="EI47" s="690"/>
      <c r="EJ47" s="689"/>
      <c r="EK47" s="688"/>
      <c r="EL47" s="688"/>
      <c r="EM47" s="688"/>
      <c r="EN47" s="690"/>
      <c r="EO47" s="689"/>
      <c r="EP47" s="688"/>
      <c r="EQ47" s="688"/>
      <c r="ER47" s="688"/>
      <c r="ES47" s="690"/>
      <c r="ET47" s="689"/>
      <c r="EU47" s="688"/>
      <c r="EV47" s="688"/>
      <c r="EW47" s="688"/>
      <c r="EX47" s="690"/>
      <c r="EY47" s="689"/>
      <c r="EZ47" s="688"/>
      <c r="FA47" s="688"/>
      <c r="FB47" s="688"/>
      <c r="FC47" s="690"/>
      <c r="FD47" s="689"/>
      <c r="FE47" s="688"/>
      <c r="FF47" s="688"/>
      <c r="FG47" s="688"/>
      <c r="FH47" s="690"/>
    </row>
    <row r="48" spans="2:164">
      <c r="B48" s="670"/>
      <c r="C48" s="671"/>
      <c r="D48" s="671"/>
      <c r="E48" s="671"/>
      <c r="F48" s="672"/>
      <c r="G48" s="672"/>
      <c r="H48" s="673"/>
      <c r="I48" s="674"/>
      <c r="J48" s="675"/>
      <c r="K48" s="676"/>
      <c r="L48" s="677"/>
      <c r="M48" s="677"/>
      <c r="N48" s="677"/>
      <c r="O48" s="678"/>
      <c r="P48" s="677"/>
      <c r="Q48" s="677"/>
      <c r="R48" s="677"/>
      <c r="S48" s="679"/>
      <c r="T48" s="678"/>
      <c r="U48" s="677"/>
      <c r="V48" s="677"/>
      <c r="W48" s="677"/>
      <c r="X48" s="679"/>
      <c r="Y48" s="678"/>
      <c r="Z48" s="677"/>
      <c r="AA48" s="677"/>
      <c r="AB48" s="677"/>
      <c r="AC48" s="679"/>
      <c r="AD48" s="678"/>
      <c r="AE48" s="677"/>
      <c r="AF48" s="677"/>
      <c r="AG48" s="677"/>
      <c r="AH48" s="679"/>
      <c r="AI48" s="678"/>
      <c r="AJ48" s="677"/>
      <c r="AK48" s="677"/>
      <c r="AL48" s="677"/>
      <c r="AM48" s="679"/>
      <c r="AN48" s="678"/>
      <c r="AO48" s="677"/>
      <c r="AP48" s="677"/>
      <c r="AQ48" s="677"/>
      <c r="AR48" s="679"/>
      <c r="AS48" s="678"/>
      <c r="AT48" s="677"/>
      <c r="AU48" s="677"/>
      <c r="AV48" s="677"/>
      <c r="AW48" s="679"/>
      <c r="AX48" s="678"/>
      <c r="AY48" s="677"/>
      <c r="AZ48" s="677"/>
      <c r="BA48" s="677"/>
      <c r="BB48" s="679"/>
      <c r="BC48" s="678"/>
      <c r="BD48" s="677"/>
      <c r="BE48" s="677"/>
      <c r="BF48" s="677"/>
      <c r="BG48" s="679"/>
      <c r="BH48" s="678"/>
      <c r="BI48" s="677"/>
      <c r="BJ48" s="677"/>
      <c r="BK48" s="677"/>
      <c r="BL48" s="679"/>
      <c r="BM48" s="678"/>
      <c r="BN48" s="677"/>
      <c r="BO48" s="677"/>
      <c r="BP48" s="677"/>
      <c r="BQ48" s="679"/>
      <c r="BR48" s="678"/>
      <c r="BS48" s="677"/>
      <c r="BT48" s="677"/>
      <c r="BU48" s="677"/>
      <c r="BV48" s="679"/>
      <c r="BW48" s="678"/>
      <c r="BX48" s="677"/>
      <c r="BY48" s="677"/>
      <c r="BZ48" s="677"/>
      <c r="CA48" s="679"/>
      <c r="CB48" s="678"/>
      <c r="CC48" s="677"/>
      <c r="CD48" s="677"/>
      <c r="CE48" s="677"/>
      <c r="CF48" s="679"/>
      <c r="CG48" s="678"/>
      <c r="CH48" s="677"/>
      <c r="CI48" s="677"/>
      <c r="CJ48" s="677"/>
      <c r="CK48" s="679"/>
      <c r="CL48" s="678"/>
      <c r="CM48" s="677"/>
      <c r="CN48" s="677"/>
      <c r="CO48" s="677"/>
      <c r="CP48" s="679"/>
      <c r="CQ48" s="678"/>
      <c r="CR48" s="677"/>
      <c r="CS48" s="677"/>
      <c r="CT48" s="677"/>
      <c r="CU48" s="679"/>
      <c r="CV48" s="678"/>
      <c r="CW48" s="677"/>
      <c r="CX48" s="677"/>
      <c r="CY48" s="677"/>
      <c r="CZ48" s="679"/>
      <c r="DA48" s="678"/>
      <c r="DB48" s="677"/>
      <c r="DC48" s="677"/>
      <c r="DD48" s="677"/>
      <c r="DE48" s="679"/>
      <c r="DF48" s="678"/>
      <c r="DG48" s="677"/>
      <c r="DH48" s="677"/>
      <c r="DI48" s="677"/>
      <c r="DJ48" s="679"/>
      <c r="DK48" s="678"/>
      <c r="DL48" s="677"/>
      <c r="DM48" s="677"/>
      <c r="DN48" s="677"/>
      <c r="DO48" s="679"/>
      <c r="DP48" s="678"/>
      <c r="DQ48" s="677"/>
      <c r="DR48" s="677"/>
      <c r="DS48" s="677"/>
      <c r="DT48" s="679"/>
      <c r="DU48" s="678"/>
      <c r="DV48" s="677"/>
      <c r="DW48" s="677"/>
      <c r="DX48" s="677"/>
      <c r="DY48" s="679"/>
      <c r="DZ48" s="678"/>
      <c r="EA48" s="677"/>
      <c r="EB48" s="677"/>
      <c r="EC48" s="677"/>
      <c r="ED48" s="679"/>
      <c r="EE48" s="678"/>
      <c r="EF48" s="677"/>
      <c r="EG48" s="677"/>
      <c r="EH48" s="677"/>
      <c r="EI48" s="679"/>
      <c r="EJ48" s="678"/>
      <c r="EK48" s="677"/>
      <c r="EL48" s="677"/>
      <c r="EM48" s="677"/>
      <c r="EN48" s="679"/>
      <c r="EO48" s="678"/>
      <c r="EP48" s="677"/>
      <c r="EQ48" s="677"/>
      <c r="ER48" s="677"/>
      <c r="ES48" s="679"/>
      <c r="ET48" s="678"/>
      <c r="EU48" s="677"/>
      <c r="EV48" s="677"/>
      <c r="EW48" s="677"/>
      <c r="EX48" s="679"/>
      <c r="EY48" s="678"/>
      <c r="EZ48" s="677"/>
      <c r="FA48" s="677"/>
      <c r="FB48" s="677"/>
      <c r="FC48" s="679"/>
      <c r="FD48" s="678"/>
      <c r="FE48" s="677"/>
      <c r="FF48" s="677"/>
      <c r="FG48" s="677"/>
      <c r="FH48" s="679"/>
    </row>
    <row r="49" spans="2:164" ht="14.25" thickBot="1">
      <c r="B49" s="683" t="s">
        <v>1377</v>
      </c>
      <c r="C49" s="683"/>
      <c r="D49" s="683"/>
      <c r="E49" s="658"/>
      <c r="F49" s="660">
        <f>'[1]基本 (1)'!L98</f>
        <v>1</v>
      </c>
      <c r="G49" s="660">
        <f>ROUND(F49*1.7,1)</f>
        <v>1.7</v>
      </c>
      <c r="H49" s="684" t="s">
        <v>1370</v>
      </c>
      <c r="I49" s="685" t="s">
        <v>1370</v>
      </c>
      <c r="J49" s="663">
        <v>29</v>
      </c>
      <c r="K49" s="664"/>
      <c r="L49" s="299"/>
      <c r="M49" s="299"/>
      <c r="N49" s="299"/>
      <c r="O49" s="665"/>
      <c r="P49" s="299"/>
      <c r="Q49" s="299"/>
      <c r="R49" s="299"/>
      <c r="S49" s="666"/>
      <c r="T49" s="665"/>
      <c r="U49" s="299"/>
      <c r="V49" s="299"/>
      <c r="W49" s="299"/>
      <c r="X49" s="666"/>
      <c r="Y49" s="665"/>
      <c r="Z49" s="299"/>
      <c r="AA49" s="299"/>
      <c r="AB49" s="299"/>
      <c r="AC49" s="666"/>
      <c r="AD49" s="665"/>
      <c r="AE49" s="299"/>
      <c r="AF49" s="299"/>
      <c r="AG49" s="299"/>
      <c r="AH49" s="666"/>
      <c r="AI49" s="665"/>
      <c r="AJ49" s="299"/>
      <c r="AK49" s="299"/>
      <c r="AL49" s="299"/>
      <c r="AM49" s="666"/>
      <c r="AN49" s="665"/>
      <c r="AO49" s="299"/>
      <c r="AP49" s="299"/>
      <c r="AQ49" s="299"/>
      <c r="AR49" s="666"/>
      <c r="AS49" s="665"/>
      <c r="AT49" s="299"/>
      <c r="AU49" s="299"/>
      <c r="AV49" s="299"/>
      <c r="AW49" s="666"/>
      <c r="AX49" s="665"/>
      <c r="AY49" s="299"/>
      <c r="AZ49" s="299"/>
      <c r="BA49" s="299"/>
      <c r="BB49" s="666"/>
      <c r="BC49" s="665"/>
      <c r="BD49" s="299"/>
      <c r="BE49" s="299"/>
      <c r="BF49" s="299"/>
      <c r="BG49" s="666"/>
      <c r="BH49" s="665"/>
      <c r="BI49" s="299"/>
      <c r="BJ49" s="299"/>
      <c r="BK49" s="299"/>
      <c r="BL49" s="666"/>
      <c r="BM49" s="665"/>
      <c r="BN49" s="299"/>
      <c r="BO49" s="299"/>
      <c r="BP49" s="299"/>
      <c r="BQ49" s="666"/>
      <c r="BR49" s="665"/>
      <c r="BS49" s="299"/>
      <c r="BT49" s="299"/>
      <c r="BU49" s="299"/>
      <c r="BV49" s="666"/>
      <c r="BW49" s="665"/>
      <c r="BX49" s="299"/>
      <c r="BY49" s="299"/>
      <c r="BZ49" s="299"/>
      <c r="CA49" s="666"/>
      <c r="CB49" s="665"/>
      <c r="CC49" s="299"/>
      <c r="CD49" s="299"/>
      <c r="CE49" s="299"/>
      <c r="CF49" s="666"/>
      <c r="CG49" s="665"/>
      <c r="CH49" s="299"/>
      <c r="CI49" s="299"/>
      <c r="CJ49" s="299"/>
      <c r="CK49" s="666"/>
      <c r="CL49" s="665"/>
      <c r="CM49" s="299"/>
      <c r="CN49" s="299"/>
      <c r="CO49" s="299"/>
      <c r="CP49" s="666"/>
      <c r="CQ49" s="665"/>
      <c r="CR49" s="299"/>
      <c r="CS49" s="299"/>
      <c r="CT49" s="299"/>
      <c r="CU49" s="666"/>
      <c r="CV49" s="665"/>
      <c r="CW49" s="299"/>
      <c r="CX49" s="299"/>
      <c r="CY49" s="299"/>
      <c r="CZ49" s="666"/>
      <c r="DA49" s="665"/>
      <c r="DB49" s="299"/>
      <c r="DC49" s="299"/>
      <c r="DD49" s="299"/>
      <c r="DE49" s="666"/>
      <c r="DF49" s="665"/>
      <c r="DG49" s="299"/>
      <c r="DH49" s="299"/>
      <c r="DI49" s="299"/>
      <c r="DJ49" s="666"/>
      <c r="DK49" s="665"/>
      <c r="DL49" s="299"/>
      <c r="DM49" s="299"/>
      <c r="DN49" s="299"/>
      <c r="DO49" s="666"/>
      <c r="DP49" s="665"/>
      <c r="DQ49" s="299"/>
      <c r="DR49" s="299"/>
      <c r="DS49" s="299"/>
      <c r="DT49" s="666"/>
      <c r="DU49" s="665"/>
      <c r="DV49" s="299"/>
      <c r="DW49" s="299"/>
      <c r="DX49" s="299"/>
      <c r="DY49" s="666"/>
      <c r="DZ49" s="665"/>
      <c r="EA49" s="299"/>
      <c r="EB49" s="299"/>
      <c r="EC49" s="299"/>
      <c r="ED49" s="666"/>
      <c r="EE49" s="665"/>
      <c r="EF49" s="299"/>
      <c r="EG49" s="299"/>
      <c r="EH49" s="299"/>
      <c r="EI49" s="666"/>
      <c r="EJ49" s="665"/>
      <c r="EK49" s="299"/>
      <c r="EL49" s="691"/>
      <c r="EM49" s="299"/>
      <c r="EN49" s="666"/>
      <c r="EO49" s="665"/>
      <c r="EP49" s="299"/>
      <c r="EQ49" s="299"/>
      <c r="ER49" s="299"/>
      <c r="ES49" s="666"/>
      <c r="ET49" s="665"/>
      <c r="EU49" s="299"/>
      <c r="EV49" s="299"/>
      <c r="EW49" s="299"/>
      <c r="EX49" s="666"/>
      <c r="EY49" s="665"/>
      <c r="EZ49" s="299"/>
      <c r="FA49" s="299"/>
      <c r="FB49" s="299"/>
      <c r="FC49" s="666"/>
      <c r="FD49" s="665"/>
      <c r="FE49" s="299"/>
      <c r="FF49" s="299"/>
      <c r="FG49" s="299"/>
      <c r="FH49" s="666"/>
    </row>
    <row r="50" spans="2:164">
      <c r="B50" s="670"/>
      <c r="C50" s="671"/>
      <c r="D50" s="671"/>
      <c r="E50" s="671"/>
      <c r="F50" s="672"/>
      <c r="G50" s="672"/>
      <c r="H50" s="673"/>
      <c r="I50" s="674"/>
      <c r="J50" s="663"/>
      <c r="K50" s="664"/>
      <c r="L50" s="299"/>
      <c r="M50" s="299"/>
      <c r="N50" s="299"/>
      <c r="O50" s="665"/>
      <c r="P50" s="299"/>
      <c r="Q50" s="299"/>
      <c r="R50" s="299"/>
      <c r="S50" s="666"/>
      <c r="T50" s="665"/>
      <c r="U50" s="299"/>
      <c r="V50" s="299"/>
      <c r="W50" s="299"/>
      <c r="X50" s="666"/>
      <c r="Y50" s="665"/>
      <c r="Z50" s="299"/>
      <c r="AA50" s="299"/>
      <c r="AB50" s="299"/>
      <c r="AC50" s="666"/>
      <c r="AD50" s="665"/>
      <c r="AE50" s="299"/>
      <c r="AF50" s="299"/>
      <c r="AG50" s="299"/>
      <c r="AH50" s="666"/>
      <c r="AI50" s="665"/>
      <c r="AJ50" s="299"/>
      <c r="AK50" s="299"/>
      <c r="AL50" s="299"/>
      <c r="AM50" s="666"/>
      <c r="AN50" s="665"/>
      <c r="AO50" s="299"/>
      <c r="AP50" s="299"/>
      <c r="AQ50" s="299"/>
      <c r="AR50" s="666"/>
      <c r="AS50" s="665"/>
      <c r="AT50" s="299"/>
      <c r="AU50" s="299"/>
      <c r="AV50" s="299"/>
      <c r="AW50" s="666"/>
      <c r="AX50" s="665"/>
      <c r="AY50" s="299"/>
      <c r="AZ50" s="299"/>
      <c r="BA50" s="299"/>
      <c r="BB50" s="666"/>
      <c r="BC50" s="665"/>
      <c r="BD50" s="299"/>
      <c r="BE50" s="299"/>
      <c r="BF50" s="299"/>
      <c r="BG50" s="666"/>
      <c r="BH50" s="665"/>
      <c r="BI50" s="299"/>
      <c r="BJ50" s="299"/>
      <c r="BK50" s="299"/>
      <c r="BL50" s="666"/>
      <c r="BM50" s="665"/>
      <c r="BN50" s="299"/>
      <c r="BO50" s="299"/>
      <c r="BP50" s="299"/>
      <c r="BQ50" s="666"/>
      <c r="BR50" s="665"/>
      <c r="BS50" s="299"/>
      <c r="BT50" s="299"/>
      <c r="BU50" s="299"/>
      <c r="BV50" s="666"/>
      <c r="BW50" s="665"/>
      <c r="BX50" s="299"/>
      <c r="BY50" s="299"/>
      <c r="BZ50" s="299"/>
      <c r="CA50" s="666"/>
      <c r="CB50" s="665"/>
      <c r="CC50" s="299"/>
      <c r="CD50" s="299"/>
      <c r="CE50" s="299"/>
      <c r="CF50" s="666"/>
      <c r="CG50" s="665"/>
      <c r="CH50" s="299"/>
      <c r="CI50" s="299"/>
      <c r="CJ50" s="299"/>
      <c r="CK50" s="666"/>
      <c r="CL50" s="665"/>
      <c r="CM50" s="299"/>
      <c r="CN50" s="299"/>
      <c r="CO50" s="299"/>
      <c r="CP50" s="666"/>
      <c r="CQ50" s="665"/>
      <c r="CR50" s="299"/>
      <c r="CS50" s="299"/>
      <c r="CT50" s="299"/>
      <c r="CU50" s="666"/>
      <c r="CV50" s="665"/>
      <c r="CW50" s="299"/>
      <c r="CX50" s="299"/>
      <c r="CY50" s="299"/>
      <c r="CZ50" s="666"/>
      <c r="DA50" s="665"/>
      <c r="DB50" s="299"/>
      <c r="DC50" s="299"/>
      <c r="DD50" s="299"/>
      <c r="DE50" s="666"/>
      <c r="DF50" s="665"/>
      <c r="DG50" s="299"/>
      <c r="DH50" s="299"/>
      <c r="DI50" s="299"/>
      <c r="DJ50" s="666"/>
      <c r="DK50" s="665"/>
      <c r="DL50" s="299"/>
      <c r="DM50" s="299"/>
      <c r="DN50" s="299"/>
      <c r="DO50" s="666"/>
      <c r="DP50" s="665"/>
      <c r="DQ50" s="299"/>
      <c r="DR50" s="299"/>
      <c r="DS50" s="299"/>
      <c r="DT50" s="666"/>
      <c r="DU50" s="665"/>
      <c r="DV50" s="299"/>
      <c r="DW50" s="299"/>
      <c r="DX50" s="299"/>
      <c r="DY50" s="666"/>
      <c r="DZ50" s="665"/>
      <c r="EA50" s="299"/>
      <c r="EB50" s="299"/>
      <c r="EC50" s="299"/>
      <c r="ED50" s="666"/>
      <c r="EE50" s="665"/>
      <c r="EF50" s="299"/>
      <c r="EG50" s="299"/>
      <c r="EH50" s="299"/>
      <c r="EI50" s="666"/>
      <c r="EJ50" s="665"/>
      <c r="EK50" s="299"/>
      <c r="EL50" s="299"/>
      <c r="EM50" s="299"/>
      <c r="EN50" s="666"/>
      <c r="EO50" s="665"/>
      <c r="EP50" s="299"/>
      <c r="EQ50" s="299"/>
      <c r="ER50" s="299"/>
      <c r="ES50" s="666"/>
      <c r="ET50" s="665"/>
      <c r="EU50" s="299"/>
      <c r="EV50" s="299"/>
      <c r="EW50" s="299"/>
      <c r="EX50" s="666"/>
      <c r="EY50" s="665"/>
      <c r="EZ50" s="299"/>
      <c r="FA50" s="299"/>
      <c r="FB50" s="299"/>
      <c r="FC50" s="666"/>
      <c r="FD50" s="665"/>
      <c r="FE50" s="299"/>
      <c r="FF50" s="299"/>
      <c r="FG50" s="299"/>
      <c r="FH50" s="666"/>
    </row>
    <row r="51" spans="2:164" ht="14.25" thickBot="1">
      <c r="B51" s="696" t="s">
        <v>1378</v>
      </c>
      <c r="C51" s="697"/>
      <c r="D51" s="658" t="s">
        <v>1379</v>
      </c>
      <c r="E51" s="659"/>
      <c r="F51" s="660">
        <f>'[1]基本 (1)'!N100</f>
        <v>61.3</v>
      </c>
      <c r="G51" s="660">
        <f>ROUND(F51*1.7,1)</f>
        <v>104.2</v>
      </c>
      <c r="H51" s="684" t="s">
        <v>1360</v>
      </c>
      <c r="I51" s="685">
        <f>ROUND(G51*2/3,1)</f>
        <v>69.5</v>
      </c>
      <c r="J51" s="686">
        <v>1</v>
      </c>
      <c r="K51" s="698"/>
      <c r="L51" s="691"/>
      <c r="M51" s="691"/>
      <c r="N51" s="691"/>
      <c r="O51" s="693"/>
      <c r="P51" s="691"/>
      <c r="Q51" s="691"/>
      <c r="R51" s="691"/>
      <c r="S51" s="692"/>
      <c r="T51" s="693"/>
      <c r="U51" s="691"/>
      <c r="V51" s="691"/>
      <c r="W51" s="691"/>
      <c r="X51" s="692"/>
      <c r="Y51" s="693"/>
      <c r="Z51" s="691"/>
      <c r="AA51" s="691"/>
      <c r="AB51" s="691"/>
      <c r="AC51" s="692"/>
      <c r="AD51" s="693"/>
      <c r="AE51" s="691"/>
      <c r="AF51" s="691"/>
      <c r="AG51" s="691"/>
      <c r="AH51" s="692"/>
      <c r="AI51" s="693"/>
      <c r="AJ51" s="691"/>
      <c r="AK51" s="691"/>
      <c r="AL51" s="691"/>
      <c r="AM51" s="692"/>
      <c r="AN51" s="693"/>
      <c r="AO51" s="691"/>
      <c r="AP51" s="691"/>
      <c r="AQ51" s="691"/>
      <c r="AR51" s="692"/>
      <c r="AS51" s="693"/>
      <c r="AT51" s="688"/>
      <c r="AU51" s="688"/>
      <c r="AV51" s="688"/>
      <c r="AW51" s="690"/>
      <c r="AX51" s="689"/>
      <c r="AY51" s="688"/>
      <c r="AZ51" s="688"/>
      <c r="BA51" s="688"/>
      <c r="BB51" s="690"/>
      <c r="BC51" s="689"/>
      <c r="BD51" s="688"/>
      <c r="BE51" s="688"/>
      <c r="BF51" s="688"/>
      <c r="BG51" s="690"/>
      <c r="BH51" s="689"/>
      <c r="BI51" s="688"/>
      <c r="BJ51" s="688"/>
      <c r="BK51" s="688"/>
      <c r="BL51" s="690"/>
      <c r="BM51" s="689"/>
      <c r="BN51" s="688"/>
      <c r="BO51" s="688"/>
      <c r="BP51" s="688"/>
      <c r="BQ51" s="690"/>
      <c r="BR51" s="689"/>
      <c r="BS51" s="688"/>
      <c r="BT51" s="688"/>
      <c r="BU51" s="688"/>
      <c r="BV51" s="690"/>
      <c r="BW51" s="689"/>
      <c r="BX51" s="688"/>
      <c r="BY51" s="688"/>
      <c r="BZ51" s="688"/>
      <c r="CA51" s="690"/>
      <c r="CB51" s="689"/>
      <c r="CC51" s="688"/>
      <c r="CD51" s="688"/>
      <c r="CE51" s="688"/>
      <c r="CF51" s="690"/>
      <c r="CG51" s="689"/>
      <c r="CH51" s="688"/>
      <c r="CI51" s="688"/>
      <c r="CJ51" s="688"/>
      <c r="CK51" s="690"/>
      <c r="CL51" s="689"/>
      <c r="CM51" s="688"/>
      <c r="CN51" s="688"/>
      <c r="CO51" s="688"/>
      <c r="CP51" s="690"/>
      <c r="CQ51" s="689"/>
      <c r="CR51" s="688"/>
      <c r="CS51" s="688"/>
      <c r="CT51" s="688"/>
      <c r="CU51" s="690"/>
      <c r="CV51" s="689"/>
      <c r="CW51" s="688"/>
      <c r="CX51" s="688"/>
      <c r="CY51" s="688"/>
      <c r="CZ51" s="690"/>
      <c r="DA51" s="689"/>
      <c r="DB51" s="688"/>
      <c r="DC51" s="688"/>
      <c r="DD51" s="688"/>
      <c r="DE51" s="690"/>
      <c r="DF51" s="689"/>
      <c r="DG51" s="688"/>
      <c r="DH51" s="688"/>
      <c r="DI51" s="688"/>
      <c r="DJ51" s="690"/>
      <c r="DK51" s="689"/>
      <c r="DL51" s="688"/>
      <c r="DM51" s="688"/>
      <c r="DN51" s="688"/>
      <c r="DO51" s="690"/>
      <c r="DP51" s="689"/>
      <c r="DQ51" s="688"/>
      <c r="DR51" s="688"/>
      <c r="DS51" s="688"/>
      <c r="DT51" s="690"/>
      <c r="DU51" s="689"/>
      <c r="DV51" s="688"/>
      <c r="DW51" s="688"/>
      <c r="DX51" s="688"/>
      <c r="DY51" s="690"/>
      <c r="DZ51" s="689"/>
      <c r="EA51" s="688"/>
      <c r="EB51" s="688"/>
      <c r="EC51" s="688"/>
      <c r="ED51" s="690"/>
      <c r="EE51" s="689"/>
      <c r="EF51" s="688"/>
      <c r="EG51" s="688"/>
      <c r="EH51" s="688"/>
      <c r="EI51" s="690"/>
      <c r="EJ51" s="689"/>
      <c r="EK51" s="688"/>
      <c r="EL51" s="688"/>
      <c r="EM51" s="691"/>
      <c r="EN51" s="692"/>
      <c r="EO51" s="693"/>
      <c r="EP51" s="691"/>
      <c r="EQ51" s="691"/>
      <c r="ER51" s="691"/>
      <c r="ES51" s="692"/>
      <c r="ET51" s="693"/>
      <c r="EU51" s="691"/>
      <c r="EV51" s="691"/>
      <c r="EW51" s="691"/>
      <c r="EX51" s="692"/>
      <c r="EY51" s="693"/>
      <c r="EZ51" s="691"/>
      <c r="FA51" s="691"/>
      <c r="FB51" s="691"/>
      <c r="FC51" s="692"/>
      <c r="FD51" s="693"/>
      <c r="FE51" s="688"/>
      <c r="FF51" s="688"/>
      <c r="FG51" s="688"/>
      <c r="FH51" s="690"/>
    </row>
    <row r="52" spans="2:164">
      <c r="B52" s="665"/>
      <c r="C52" s="666"/>
      <c r="D52" s="670"/>
      <c r="E52" s="671"/>
      <c r="F52" s="672"/>
      <c r="G52" s="672"/>
      <c r="H52" s="673" t="s">
        <v>1361</v>
      </c>
      <c r="I52" s="674">
        <f>ROUND(G51*1/3,1)</f>
        <v>34.700000000000003</v>
      </c>
      <c r="J52" s="675">
        <v>30</v>
      </c>
      <c r="K52" s="676"/>
      <c r="L52" s="677"/>
      <c r="M52" s="677"/>
      <c r="N52" s="677"/>
      <c r="O52" s="678"/>
      <c r="P52" s="677"/>
      <c r="Q52" s="677"/>
      <c r="R52" s="677"/>
      <c r="S52" s="679"/>
      <c r="T52" s="678"/>
      <c r="U52" s="677"/>
      <c r="V52" s="677"/>
      <c r="W52" s="677"/>
      <c r="X52" s="679"/>
      <c r="Y52" s="678"/>
      <c r="Z52" s="677"/>
      <c r="AA52" s="677"/>
      <c r="AB52" s="677"/>
      <c r="AC52" s="679"/>
      <c r="AD52" s="678"/>
      <c r="AE52" s="677"/>
      <c r="AF52" s="677"/>
      <c r="AG52" s="677"/>
      <c r="AH52" s="679"/>
      <c r="AI52" s="678"/>
      <c r="AJ52" s="677"/>
      <c r="AK52" s="677"/>
      <c r="AL52" s="677"/>
      <c r="AM52" s="679"/>
      <c r="AN52" s="678"/>
      <c r="AO52" s="677"/>
      <c r="AP52" s="677"/>
      <c r="AQ52" s="677"/>
      <c r="AR52" s="679"/>
      <c r="AS52" s="678"/>
      <c r="AT52" s="677"/>
      <c r="AU52" s="677"/>
      <c r="AV52" s="677"/>
      <c r="AW52" s="679"/>
      <c r="AX52" s="678"/>
      <c r="AY52" s="677"/>
      <c r="AZ52" s="677"/>
      <c r="BA52" s="677"/>
      <c r="BB52" s="679"/>
      <c r="BC52" s="678"/>
      <c r="BD52" s="677"/>
      <c r="BE52" s="677"/>
      <c r="BF52" s="677"/>
      <c r="BG52" s="679"/>
      <c r="BH52" s="678"/>
      <c r="BI52" s="677"/>
      <c r="BJ52" s="677"/>
      <c r="BK52" s="677"/>
      <c r="BL52" s="679"/>
      <c r="BM52" s="678"/>
      <c r="BN52" s="677"/>
      <c r="BO52" s="677"/>
      <c r="BP52" s="677"/>
      <c r="BQ52" s="679"/>
      <c r="BR52" s="678"/>
      <c r="BS52" s="677"/>
      <c r="BT52" s="677"/>
      <c r="BU52" s="677"/>
      <c r="BV52" s="679"/>
      <c r="BW52" s="678"/>
      <c r="BX52" s="677"/>
      <c r="BY52" s="677"/>
      <c r="BZ52" s="677"/>
      <c r="CA52" s="679"/>
      <c r="CB52" s="678"/>
      <c r="CC52" s="677"/>
      <c r="CD52" s="677"/>
      <c r="CE52" s="677"/>
      <c r="CF52" s="679"/>
      <c r="CG52" s="678"/>
      <c r="CH52" s="677"/>
      <c r="CI52" s="677"/>
      <c r="CJ52" s="677"/>
      <c r="CK52" s="679"/>
      <c r="CL52" s="678"/>
      <c r="CM52" s="677"/>
      <c r="CN52" s="677"/>
      <c r="CO52" s="677"/>
      <c r="CP52" s="679"/>
      <c r="CQ52" s="678"/>
      <c r="CR52" s="677"/>
      <c r="CS52" s="677"/>
      <c r="CT52" s="677"/>
      <c r="CU52" s="679"/>
      <c r="CV52" s="678"/>
      <c r="CW52" s="677"/>
      <c r="CX52" s="677"/>
      <c r="CY52" s="677"/>
      <c r="CZ52" s="679"/>
      <c r="DA52" s="678"/>
      <c r="DB52" s="677"/>
      <c r="DC52" s="677"/>
      <c r="DD52" s="677"/>
      <c r="DE52" s="679"/>
      <c r="DF52" s="678"/>
      <c r="DG52" s="677"/>
      <c r="DH52" s="677"/>
      <c r="DI52" s="677"/>
      <c r="DJ52" s="679"/>
      <c r="DK52" s="678"/>
      <c r="DL52" s="677"/>
      <c r="DM52" s="677"/>
      <c r="DN52" s="677"/>
      <c r="DO52" s="679"/>
      <c r="DP52" s="678"/>
      <c r="DQ52" s="677"/>
      <c r="DR52" s="677"/>
      <c r="DS52" s="677"/>
      <c r="DT52" s="679"/>
      <c r="DU52" s="678"/>
      <c r="DV52" s="677"/>
      <c r="DW52" s="677"/>
      <c r="DX52" s="677"/>
      <c r="DY52" s="679"/>
      <c r="DZ52" s="678"/>
      <c r="EA52" s="677"/>
      <c r="EB52" s="677"/>
      <c r="EC52" s="677"/>
      <c r="ED52" s="679"/>
      <c r="EE52" s="678"/>
      <c r="EF52" s="677"/>
      <c r="EG52" s="677"/>
      <c r="EH52" s="677"/>
      <c r="EI52" s="679"/>
      <c r="EJ52" s="678"/>
      <c r="EK52" s="677"/>
      <c r="EL52" s="677"/>
      <c r="EM52" s="677"/>
      <c r="EN52" s="679"/>
      <c r="EO52" s="678"/>
      <c r="EP52" s="677"/>
      <c r="EQ52" s="677"/>
      <c r="ER52" s="677"/>
      <c r="ES52" s="679"/>
      <c r="ET52" s="678"/>
      <c r="EU52" s="677"/>
      <c r="EV52" s="677"/>
      <c r="EW52" s="677"/>
      <c r="EX52" s="679"/>
      <c r="EY52" s="678"/>
      <c r="EZ52" s="677"/>
      <c r="FA52" s="677"/>
      <c r="FB52" s="677"/>
      <c r="FC52" s="679"/>
      <c r="FD52" s="678"/>
      <c r="FE52" s="677"/>
      <c r="FF52" s="677"/>
      <c r="FG52" s="677"/>
      <c r="FH52" s="679"/>
    </row>
    <row r="53" spans="2:164" hidden="1">
      <c r="B53" s="699"/>
      <c r="C53" s="700"/>
      <c r="D53" s="658" t="s">
        <v>1380</v>
      </c>
      <c r="E53" s="659"/>
      <c r="F53" s="660">
        <f>'[1]基本 (1)'!N101</f>
        <v>0</v>
      </c>
      <c r="G53" s="660">
        <f>ROUND(F53*1.7,1)</f>
        <v>0</v>
      </c>
      <c r="H53" s="684" t="s">
        <v>1360</v>
      </c>
      <c r="I53" s="685">
        <f>ROUND(G53*2/3,1)</f>
        <v>0</v>
      </c>
      <c r="J53" s="686"/>
      <c r="K53" s="687"/>
      <c r="L53" s="688"/>
      <c r="M53" s="688"/>
      <c r="N53" s="688"/>
      <c r="O53" s="689"/>
      <c r="P53" s="688"/>
      <c r="Q53" s="688"/>
      <c r="R53" s="688"/>
      <c r="S53" s="690"/>
      <c r="T53" s="689"/>
      <c r="U53" s="688"/>
      <c r="V53" s="688"/>
      <c r="W53" s="688"/>
      <c r="X53" s="690"/>
      <c r="Y53" s="689"/>
      <c r="Z53" s="688"/>
      <c r="AA53" s="688"/>
      <c r="AB53" s="688"/>
      <c r="AC53" s="690"/>
      <c r="AD53" s="689"/>
      <c r="AE53" s="688"/>
      <c r="AF53" s="688"/>
      <c r="AG53" s="688"/>
      <c r="AH53" s="690"/>
      <c r="AI53" s="689"/>
      <c r="AJ53" s="688"/>
      <c r="AK53" s="688"/>
      <c r="AL53" s="688"/>
      <c r="AM53" s="690"/>
      <c r="AN53" s="689"/>
      <c r="AO53" s="688"/>
      <c r="AP53" s="688"/>
      <c r="AQ53" s="688"/>
      <c r="AR53" s="690"/>
      <c r="AS53" s="689"/>
      <c r="AT53" s="688"/>
      <c r="AU53" s="688"/>
      <c r="AV53" s="688"/>
      <c r="AW53" s="690"/>
      <c r="AX53" s="689"/>
      <c r="AY53" s="688"/>
      <c r="AZ53" s="688"/>
      <c r="BA53" s="688"/>
      <c r="BB53" s="690"/>
      <c r="BC53" s="689"/>
      <c r="BD53" s="688"/>
      <c r="BE53" s="688"/>
      <c r="BF53" s="688"/>
      <c r="BG53" s="690"/>
      <c r="BH53" s="689"/>
      <c r="BI53" s="688"/>
      <c r="BJ53" s="688"/>
      <c r="BK53" s="688"/>
      <c r="BL53" s="690"/>
      <c r="BM53" s="689"/>
      <c r="BN53" s="688"/>
      <c r="BO53" s="688"/>
      <c r="BP53" s="688"/>
      <c r="BQ53" s="690"/>
      <c r="BR53" s="689"/>
      <c r="BS53" s="688"/>
      <c r="BT53" s="688"/>
      <c r="BU53" s="688"/>
      <c r="BV53" s="690"/>
      <c r="BW53" s="689"/>
      <c r="BX53" s="688"/>
      <c r="BY53" s="688"/>
      <c r="BZ53" s="688"/>
      <c r="CA53" s="690"/>
      <c r="CB53" s="689"/>
      <c r="CC53" s="688"/>
      <c r="CD53" s="688"/>
      <c r="CE53" s="688"/>
      <c r="CF53" s="690"/>
      <c r="CG53" s="689"/>
      <c r="CH53" s="688"/>
      <c r="CI53" s="688"/>
      <c r="CJ53" s="688"/>
      <c r="CK53" s="690"/>
      <c r="CL53" s="689"/>
      <c r="CM53" s="688"/>
      <c r="CN53" s="688"/>
      <c r="CO53" s="688"/>
      <c r="CP53" s="690"/>
      <c r="CQ53" s="689"/>
      <c r="CR53" s="688"/>
      <c r="CS53" s="688"/>
      <c r="CT53" s="688"/>
      <c r="CU53" s="690"/>
      <c r="CV53" s="689"/>
      <c r="CW53" s="688"/>
      <c r="CX53" s="688"/>
      <c r="CY53" s="688"/>
      <c r="CZ53" s="690"/>
      <c r="DA53" s="689"/>
      <c r="DB53" s="688"/>
      <c r="DC53" s="688"/>
      <c r="DD53" s="688"/>
      <c r="DE53" s="690"/>
      <c r="DF53" s="689"/>
      <c r="DG53" s="688"/>
      <c r="DH53" s="688"/>
      <c r="DI53" s="688"/>
      <c r="DJ53" s="690"/>
      <c r="DK53" s="689"/>
      <c r="DL53" s="688"/>
      <c r="DM53" s="688"/>
      <c r="DN53" s="688"/>
      <c r="DO53" s="690"/>
      <c r="DP53" s="689"/>
      <c r="DQ53" s="688"/>
      <c r="DR53" s="688"/>
      <c r="DS53" s="688"/>
      <c r="DT53" s="690"/>
      <c r="DU53" s="689"/>
      <c r="DV53" s="688"/>
      <c r="DW53" s="688"/>
      <c r="DX53" s="688"/>
      <c r="DY53" s="690"/>
      <c r="DZ53" s="689"/>
      <c r="EA53" s="688"/>
      <c r="EB53" s="688"/>
      <c r="EC53" s="688"/>
      <c r="ED53" s="690"/>
      <c r="EE53" s="689"/>
      <c r="EF53" s="688"/>
      <c r="EG53" s="688"/>
      <c r="EH53" s="688"/>
      <c r="EI53" s="690"/>
      <c r="EJ53" s="689"/>
      <c r="EK53" s="688"/>
      <c r="EL53" s="688"/>
      <c r="EM53" s="688"/>
      <c r="EN53" s="690"/>
      <c r="EO53" s="689"/>
      <c r="EP53" s="688"/>
      <c r="EQ53" s="688"/>
      <c r="ER53" s="688"/>
      <c r="ES53" s="690"/>
      <c r="ET53" s="689"/>
      <c r="EU53" s="688"/>
      <c r="EV53" s="688"/>
      <c r="EW53" s="688"/>
      <c r="EX53" s="690"/>
      <c r="EY53" s="689"/>
      <c r="EZ53" s="688"/>
      <c r="FA53" s="688"/>
      <c r="FB53" s="688"/>
      <c r="FC53" s="690"/>
      <c r="FD53" s="689"/>
      <c r="FE53" s="688"/>
      <c r="FF53" s="688"/>
      <c r="FG53" s="688"/>
      <c r="FH53" s="690"/>
    </row>
    <row r="54" spans="2:164" hidden="1">
      <c r="B54" s="665"/>
      <c r="C54" s="666"/>
      <c r="D54" s="670"/>
      <c r="E54" s="671"/>
      <c r="F54" s="672"/>
      <c r="G54" s="672"/>
      <c r="H54" s="673" t="s">
        <v>1361</v>
      </c>
      <c r="I54" s="674">
        <f>ROUND(G53*1/3,1)</f>
        <v>0</v>
      </c>
      <c r="J54" s="675"/>
      <c r="K54" s="676"/>
      <c r="L54" s="677"/>
      <c r="M54" s="677"/>
      <c r="N54" s="677"/>
      <c r="O54" s="678"/>
      <c r="P54" s="677"/>
      <c r="Q54" s="677"/>
      <c r="R54" s="677"/>
      <c r="S54" s="679"/>
      <c r="T54" s="678"/>
      <c r="U54" s="677"/>
      <c r="V54" s="677"/>
      <c r="W54" s="677"/>
      <c r="X54" s="679"/>
      <c r="Y54" s="678"/>
      <c r="Z54" s="677"/>
      <c r="AA54" s="677"/>
      <c r="AB54" s="677"/>
      <c r="AC54" s="679"/>
      <c r="AD54" s="678"/>
      <c r="AE54" s="677"/>
      <c r="AF54" s="677"/>
      <c r="AG54" s="677"/>
      <c r="AH54" s="679"/>
      <c r="AI54" s="678"/>
      <c r="AJ54" s="677"/>
      <c r="AK54" s="677"/>
      <c r="AL54" s="677"/>
      <c r="AM54" s="679"/>
      <c r="AN54" s="678"/>
      <c r="AO54" s="677"/>
      <c r="AP54" s="677"/>
      <c r="AQ54" s="677"/>
      <c r="AR54" s="679"/>
      <c r="AS54" s="678"/>
      <c r="AT54" s="677"/>
      <c r="AU54" s="677"/>
      <c r="AV54" s="677"/>
      <c r="AW54" s="679"/>
      <c r="AX54" s="678"/>
      <c r="AY54" s="677"/>
      <c r="AZ54" s="677"/>
      <c r="BA54" s="677"/>
      <c r="BB54" s="679"/>
      <c r="BC54" s="678"/>
      <c r="BD54" s="677"/>
      <c r="BE54" s="677"/>
      <c r="BF54" s="677"/>
      <c r="BG54" s="679"/>
      <c r="BH54" s="678"/>
      <c r="BI54" s="677"/>
      <c r="BJ54" s="677"/>
      <c r="BK54" s="677"/>
      <c r="BL54" s="679"/>
      <c r="BM54" s="678"/>
      <c r="BN54" s="677"/>
      <c r="BO54" s="677"/>
      <c r="BP54" s="677"/>
      <c r="BQ54" s="679"/>
      <c r="BR54" s="678"/>
      <c r="BS54" s="677"/>
      <c r="BT54" s="677"/>
      <c r="BU54" s="677"/>
      <c r="BV54" s="679"/>
      <c r="BW54" s="678"/>
      <c r="BX54" s="677"/>
      <c r="BY54" s="677"/>
      <c r="BZ54" s="677"/>
      <c r="CA54" s="679"/>
      <c r="CB54" s="678"/>
      <c r="CC54" s="677"/>
      <c r="CD54" s="677"/>
      <c r="CE54" s="677"/>
      <c r="CF54" s="679"/>
      <c r="CG54" s="678"/>
      <c r="CH54" s="677"/>
      <c r="CI54" s="677"/>
      <c r="CJ54" s="677"/>
      <c r="CK54" s="679"/>
      <c r="CL54" s="678"/>
      <c r="CM54" s="677"/>
      <c r="CN54" s="677"/>
      <c r="CO54" s="677"/>
      <c r="CP54" s="679"/>
      <c r="CQ54" s="678"/>
      <c r="CR54" s="677"/>
      <c r="CS54" s="677"/>
      <c r="CT54" s="677"/>
      <c r="CU54" s="679"/>
      <c r="CV54" s="678"/>
      <c r="CW54" s="677"/>
      <c r="CX54" s="677"/>
      <c r="CY54" s="677"/>
      <c r="CZ54" s="679"/>
      <c r="DA54" s="678"/>
      <c r="DB54" s="677"/>
      <c r="DC54" s="677"/>
      <c r="DD54" s="677"/>
      <c r="DE54" s="679"/>
      <c r="DF54" s="678"/>
      <c r="DG54" s="677"/>
      <c r="DH54" s="677"/>
      <c r="DI54" s="677"/>
      <c r="DJ54" s="679"/>
      <c r="DK54" s="678"/>
      <c r="DL54" s="677"/>
      <c r="DM54" s="677"/>
      <c r="DN54" s="677"/>
      <c r="DO54" s="679"/>
      <c r="DP54" s="678"/>
      <c r="DQ54" s="677"/>
      <c r="DR54" s="677"/>
      <c r="DS54" s="677"/>
      <c r="DT54" s="679"/>
      <c r="DU54" s="678"/>
      <c r="DV54" s="677"/>
      <c r="DW54" s="677"/>
      <c r="DX54" s="677"/>
      <c r="DY54" s="679"/>
      <c r="DZ54" s="678"/>
      <c r="EA54" s="677"/>
      <c r="EB54" s="677"/>
      <c r="EC54" s="677"/>
      <c r="ED54" s="679"/>
      <c r="EE54" s="678"/>
      <c r="EF54" s="677"/>
      <c r="EG54" s="677"/>
      <c r="EH54" s="677"/>
      <c r="EI54" s="679"/>
      <c r="EJ54" s="678"/>
      <c r="EK54" s="677"/>
      <c r="EL54" s="677"/>
      <c r="EM54" s="677"/>
      <c r="EN54" s="679"/>
      <c r="EO54" s="678"/>
      <c r="EP54" s="677"/>
      <c r="EQ54" s="677"/>
      <c r="ER54" s="677"/>
      <c r="ES54" s="679"/>
      <c r="ET54" s="678"/>
      <c r="EU54" s="677"/>
      <c r="EV54" s="677"/>
      <c r="EW54" s="677"/>
      <c r="EX54" s="679"/>
      <c r="EY54" s="678"/>
      <c r="EZ54" s="677"/>
      <c r="FA54" s="677"/>
      <c r="FB54" s="677"/>
      <c r="FC54" s="679"/>
      <c r="FD54" s="678"/>
      <c r="FE54" s="677"/>
      <c r="FF54" s="677"/>
      <c r="FG54" s="677"/>
      <c r="FH54" s="679"/>
    </row>
    <row r="55" spans="2:164" hidden="1">
      <c r="B55" s="665"/>
      <c r="C55" s="666"/>
      <c r="D55" s="658" t="s">
        <v>1381</v>
      </c>
      <c r="E55" s="659"/>
      <c r="F55" s="660">
        <f>'[1]基本 (1)'!N102</f>
        <v>0</v>
      </c>
      <c r="G55" s="660">
        <f>ROUND(F55*1.7,1)</f>
        <v>0</v>
      </c>
      <c r="H55" s="684" t="s">
        <v>1360</v>
      </c>
      <c r="I55" s="685">
        <f>ROUND(G55*2/3,1)</f>
        <v>0</v>
      </c>
      <c r="J55" s="663"/>
      <c r="K55" s="687"/>
      <c r="L55" s="688"/>
      <c r="M55" s="688"/>
      <c r="N55" s="299"/>
      <c r="O55" s="665"/>
      <c r="P55" s="299"/>
      <c r="Q55" s="299"/>
      <c r="R55" s="299"/>
      <c r="S55" s="666"/>
      <c r="T55" s="665"/>
      <c r="U55" s="299"/>
      <c r="V55" s="299"/>
      <c r="W55" s="299"/>
      <c r="X55" s="666"/>
      <c r="Y55" s="665"/>
      <c r="Z55" s="299"/>
      <c r="AA55" s="299"/>
      <c r="AB55" s="299"/>
      <c r="AC55" s="666"/>
      <c r="AD55" s="665"/>
      <c r="AE55" s="299"/>
      <c r="AF55" s="299"/>
      <c r="AG55" s="299"/>
      <c r="AH55" s="666"/>
      <c r="AI55" s="665"/>
      <c r="AJ55" s="299"/>
      <c r="AK55" s="299"/>
      <c r="AL55" s="299"/>
      <c r="AM55" s="666"/>
      <c r="AN55" s="665"/>
      <c r="AO55" s="299"/>
      <c r="AP55" s="299"/>
      <c r="AQ55" s="299"/>
      <c r="AR55" s="666"/>
      <c r="AS55" s="665"/>
      <c r="AT55" s="299"/>
      <c r="AU55" s="299"/>
      <c r="AV55" s="299"/>
      <c r="AW55" s="666"/>
      <c r="AX55" s="665"/>
      <c r="AY55" s="299"/>
      <c r="AZ55" s="299"/>
      <c r="BA55" s="299"/>
      <c r="BB55" s="666"/>
      <c r="BC55" s="665"/>
      <c r="BD55" s="299"/>
      <c r="BE55" s="299"/>
      <c r="BF55" s="299"/>
      <c r="BG55" s="666"/>
      <c r="BH55" s="665"/>
      <c r="BI55" s="299"/>
      <c r="BJ55" s="299"/>
      <c r="BK55" s="299"/>
      <c r="BL55" s="666"/>
      <c r="BM55" s="665"/>
      <c r="BN55" s="299"/>
      <c r="BO55" s="299"/>
      <c r="BP55" s="299"/>
      <c r="BQ55" s="666"/>
      <c r="BR55" s="665"/>
      <c r="BS55" s="299"/>
      <c r="BT55" s="299"/>
      <c r="BU55" s="299"/>
      <c r="BV55" s="666"/>
      <c r="BW55" s="665"/>
      <c r="BX55" s="299"/>
      <c r="BY55" s="299"/>
      <c r="BZ55" s="299"/>
      <c r="CA55" s="666"/>
      <c r="CB55" s="665"/>
      <c r="CC55" s="299"/>
      <c r="CD55" s="299"/>
      <c r="CE55" s="299"/>
      <c r="CF55" s="666"/>
      <c r="CG55" s="665"/>
      <c r="CH55" s="299"/>
      <c r="CI55" s="299"/>
      <c r="CJ55" s="299"/>
      <c r="CK55" s="666"/>
      <c r="CL55" s="665"/>
      <c r="CM55" s="299"/>
      <c r="CN55" s="299"/>
      <c r="CO55" s="299"/>
      <c r="CP55" s="666"/>
      <c r="CQ55" s="665"/>
      <c r="CR55" s="299"/>
      <c r="CS55" s="299"/>
      <c r="CT55" s="299"/>
      <c r="CU55" s="666"/>
      <c r="CV55" s="665"/>
      <c r="CW55" s="299"/>
      <c r="CX55" s="299"/>
      <c r="CY55" s="299"/>
      <c r="CZ55" s="666"/>
      <c r="DA55" s="665"/>
      <c r="DB55" s="299"/>
      <c r="DC55" s="299"/>
      <c r="DD55" s="299"/>
      <c r="DE55" s="666"/>
      <c r="DF55" s="665"/>
      <c r="DG55" s="299"/>
      <c r="DH55" s="299"/>
      <c r="DI55" s="299"/>
      <c r="DJ55" s="666"/>
      <c r="DK55" s="665"/>
      <c r="DL55" s="299"/>
      <c r="DM55" s="299"/>
      <c r="DN55" s="299"/>
      <c r="DO55" s="666"/>
      <c r="DP55" s="665"/>
      <c r="DQ55" s="299"/>
      <c r="DR55" s="299"/>
      <c r="DS55" s="299"/>
      <c r="DT55" s="666"/>
      <c r="DU55" s="665"/>
      <c r="DV55" s="299"/>
      <c r="DW55" s="299"/>
      <c r="DX55" s="299"/>
      <c r="DY55" s="666"/>
      <c r="DZ55" s="665"/>
      <c r="EA55" s="299"/>
      <c r="EB55" s="299"/>
      <c r="EC55" s="299"/>
      <c r="ED55" s="666"/>
      <c r="EE55" s="665"/>
      <c r="EF55" s="299"/>
      <c r="EG55" s="299"/>
      <c r="EH55" s="299"/>
      <c r="EI55" s="666"/>
      <c r="EJ55" s="665"/>
      <c r="EK55" s="299"/>
      <c r="EL55" s="299"/>
      <c r="EM55" s="299"/>
      <c r="EN55" s="666"/>
      <c r="EO55" s="665"/>
      <c r="EP55" s="299"/>
      <c r="EQ55" s="299"/>
      <c r="ER55" s="299"/>
      <c r="ES55" s="666"/>
      <c r="ET55" s="665"/>
      <c r="EU55" s="299"/>
      <c r="EV55" s="299"/>
      <c r="EW55" s="299"/>
      <c r="EX55" s="666"/>
      <c r="EY55" s="665"/>
      <c r="EZ55" s="299"/>
      <c r="FA55" s="299"/>
      <c r="FB55" s="299"/>
      <c r="FC55" s="666"/>
      <c r="FD55" s="665"/>
      <c r="FE55" s="299"/>
      <c r="FF55" s="299"/>
      <c r="FG55" s="299"/>
      <c r="FH55" s="666"/>
    </row>
    <row r="56" spans="2:164" hidden="1">
      <c r="B56" s="678"/>
      <c r="C56" s="679"/>
      <c r="D56" s="670"/>
      <c r="E56" s="671"/>
      <c r="F56" s="672"/>
      <c r="G56" s="672"/>
      <c r="H56" s="673" t="s">
        <v>1361</v>
      </c>
      <c r="I56" s="674">
        <f>ROUND(G55*1/3,1)</f>
        <v>0</v>
      </c>
      <c r="J56" s="675"/>
      <c r="K56" s="676"/>
      <c r="L56" s="677"/>
      <c r="M56" s="677"/>
      <c r="N56" s="677"/>
      <c r="O56" s="678"/>
      <c r="P56" s="677"/>
      <c r="Q56" s="677"/>
      <c r="R56" s="677"/>
      <c r="S56" s="679"/>
      <c r="T56" s="678"/>
      <c r="U56" s="677"/>
      <c r="V56" s="677"/>
      <c r="W56" s="677"/>
      <c r="X56" s="679"/>
      <c r="Y56" s="678"/>
      <c r="Z56" s="677"/>
      <c r="AA56" s="677"/>
      <c r="AB56" s="677"/>
      <c r="AC56" s="679"/>
      <c r="AD56" s="678"/>
      <c r="AE56" s="677"/>
      <c r="AF56" s="677"/>
      <c r="AG56" s="677"/>
      <c r="AH56" s="679"/>
      <c r="AI56" s="678"/>
      <c r="AJ56" s="677"/>
      <c r="AK56" s="677"/>
      <c r="AL56" s="677"/>
      <c r="AM56" s="679"/>
      <c r="AN56" s="678"/>
      <c r="AO56" s="677"/>
      <c r="AP56" s="677"/>
      <c r="AQ56" s="677"/>
      <c r="AR56" s="679"/>
      <c r="AS56" s="678"/>
      <c r="AT56" s="677"/>
      <c r="AU56" s="677"/>
      <c r="AV56" s="677"/>
      <c r="AW56" s="679"/>
      <c r="AX56" s="678"/>
      <c r="AY56" s="677"/>
      <c r="AZ56" s="677"/>
      <c r="BA56" s="677"/>
      <c r="BB56" s="679"/>
      <c r="BC56" s="678"/>
      <c r="BD56" s="677"/>
      <c r="BE56" s="677"/>
      <c r="BF56" s="677"/>
      <c r="BG56" s="679"/>
      <c r="BH56" s="678"/>
      <c r="BI56" s="677"/>
      <c r="BJ56" s="677"/>
      <c r="BK56" s="677"/>
      <c r="BL56" s="679"/>
      <c r="BM56" s="678"/>
      <c r="BN56" s="677"/>
      <c r="BO56" s="677"/>
      <c r="BP56" s="677"/>
      <c r="BQ56" s="679"/>
      <c r="BR56" s="678"/>
      <c r="BS56" s="677"/>
      <c r="BT56" s="677"/>
      <c r="BU56" s="677"/>
      <c r="BV56" s="679"/>
      <c r="BW56" s="678"/>
      <c r="BX56" s="677"/>
      <c r="BY56" s="677"/>
      <c r="BZ56" s="677"/>
      <c r="CA56" s="679"/>
      <c r="CB56" s="678"/>
      <c r="CC56" s="677"/>
      <c r="CD56" s="677"/>
      <c r="CE56" s="677"/>
      <c r="CF56" s="679"/>
      <c r="CG56" s="678"/>
      <c r="CH56" s="677"/>
      <c r="CI56" s="677"/>
      <c r="CJ56" s="677"/>
      <c r="CK56" s="679"/>
      <c r="CL56" s="678"/>
      <c r="CM56" s="677"/>
      <c r="CN56" s="677"/>
      <c r="CO56" s="677"/>
      <c r="CP56" s="679"/>
      <c r="CQ56" s="678"/>
      <c r="CR56" s="677"/>
      <c r="CS56" s="677"/>
      <c r="CT56" s="677"/>
      <c r="CU56" s="679"/>
      <c r="CV56" s="678"/>
      <c r="CW56" s="677"/>
      <c r="CX56" s="677"/>
      <c r="CY56" s="677"/>
      <c r="CZ56" s="679"/>
      <c r="DA56" s="678"/>
      <c r="DB56" s="677"/>
      <c r="DC56" s="677"/>
      <c r="DD56" s="677"/>
      <c r="DE56" s="679"/>
      <c r="DF56" s="678"/>
      <c r="DG56" s="677"/>
      <c r="DH56" s="677"/>
      <c r="DI56" s="677"/>
      <c r="DJ56" s="679"/>
      <c r="DK56" s="678"/>
      <c r="DL56" s="677"/>
      <c r="DM56" s="677"/>
      <c r="DN56" s="677"/>
      <c r="DO56" s="679"/>
      <c r="DP56" s="678"/>
      <c r="DQ56" s="677"/>
      <c r="DR56" s="677"/>
      <c r="DS56" s="677"/>
      <c r="DT56" s="679"/>
      <c r="DU56" s="678"/>
      <c r="DV56" s="677"/>
      <c r="DW56" s="677"/>
      <c r="DX56" s="677"/>
      <c r="DY56" s="679"/>
      <c r="DZ56" s="678"/>
      <c r="EA56" s="677"/>
      <c r="EB56" s="677"/>
      <c r="EC56" s="677"/>
      <c r="ED56" s="679"/>
      <c r="EE56" s="678"/>
      <c r="EF56" s="677"/>
      <c r="EG56" s="677"/>
      <c r="EH56" s="677"/>
      <c r="EI56" s="679"/>
      <c r="EJ56" s="678"/>
      <c r="EK56" s="677"/>
      <c r="EL56" s="677"/>
      <c r="EM56" s="677"/>
      <c r="EN56" s="679"/>
      <c r="EO56" s="678"/>
      <c r="EP56" s="677"/>
      <c r="EQ56" s="677"/>
      <c r="ER56" s="677"/>
      <c r="ES56" s="679"/>
      <c r="ET56" s="678"/>
      <c r="EU56" s="677"/>
      <c r="EV56" s="677"/>
      <c r="EW56" s="677"/>
      <c r="EX56" s="679"/>
      <c r="EY56" s="678"/>
      <c r="EZ56" s="677"/>
      <c r="FA56" s="677"/>
      <c r="FB56" s="677"/>
      <c r="FC56" s="679"/>
      <c r="FD56" s="678"/>
      <c r="FE56" s="677"/>
      <c r="FF56" s="677"/>
      <c r="FG56" s="677"/>
      <c r="FH56" s="679"/>
    </row>
    <row r="57" spans="2:164" ht="14.25" hidden="1" customHeight="1">
      <c r="B57" s="658" t="s">
        <v>1382</v>
      </c>
      <c r="C57" s="659"/>
      <c r="D57" s="659"/>
      <c r="E57" s="659"/>
      <c r="F57" s="660">
        <f>'[1]基本 (1)'!L103</f>
        <v>0</v>
      </c>
      <c r="G57" s="660">
        <f>ROUND(F57*1.7,1)</f>
        <v>0</v>
      </c>
      <c r="H57" s="684" t="s">
        <v>1375</v>
      </c>
      <c r="I57" s="685" t="s">
        <v>1375</v>
      </c>
      <c r="J57" s="663"/>
      <c r="K57" s="664"/>
      <c r="L57" s="299"/>
      <c r="M57" s="299"/>
      <c r="N57" s="299"/>
      <c r="O57" s="665"/>
      <c r="P57" s="299"/>
      <c r="Q57" s="299"/>
      <c r="R57" s="299"/>
      <c r="S57" s="666"/>
      <c r="T57" s="665"/>
      <c r="U57" s="299"/>
      <c r="V57" s="299"/>
      <c r="W57" s="299"/>
      <c r="X57" s="666"/>
      <c r="Y57" s="665"/>
      <c r="Z57" s="299"/>
      <c r="AA57" s="299"/>
      <c r="AB57" s="299"/>
      <c r="AC57" s="666"/>
      <c r="AD57" s="665"/>
      <c r="AE57" s="299"/>
      <c r="AF57" s="299"/>
      <c r="AG57" s="299"/>
      <c r="AH57" s="666"/>
      <c r="AI57" s="665"/>
      <c r="AJ57" s="299"/>
      <c r="AK57" s="299"/>
      <c r="AL57" s="299"/>
      <c r="AM57" s="666"/>
      <c r="AN57" s="665"/>
      <c r="AO57" s="299"/>
      <c r="AP57" s="299"/>
      <c r="AQ57" s="299"/>
      <c r="AR57" s="666"/>
      <c r="AS57" s="665"/>
      <c r="AT57" s="299"/>
      <c r="AU57" s="299"/>
      <c r="AV57" s="299"/>
      <c r="AW57" s="666"/>
      <c r="AX57" s="665"/>
      <c r="AY57" s="299"/>
      <c r="AZ57" s="299"/>
      <c r="BA57" s="299"/>
      <c r="BB57" s="666"/>
      <c r="BC57" s="665"/>
      <c r="BD57" s="299"/>
      <c r="BE57" s="299"/>
      <c r="BF57" s="299"/>
      <c r="BG57" s="666"/>
      <c r="BH57" s="665"/>
      <c r="BI57" s="299"/>
      <c r="BJ57" s="299"/>
      <c r="BK57" s="299"/>
      <c r="BL57" s="666"/>
      <c r="BM57" s="665"/>
      <c r="BN57" s="299"/>
      <c r="BO57" s="299"/>
      <c r="BP57" s="299"/>
      <c r="BQ57" s="666"/>
      <c r="BR57" s="665"/>
      <c r="BS57" s="299"/>
      <c r="BT57" s="299"/>
      <c r="BU57" s="299"/>
      <c r="BV57" s="666"/>
      <c r="BW57" s="665"/>
      <c r="BX57" s="299"/>
      <c r="BY57" s="299"/>
      <c r="BZ57" s="299"/>
      <c r="CA57" s="666"/>
      <c r="CB57" s="665"/>
      <c r="CC57" s="299"/>
      <c r="CD57" s="299"/>
      <c r="CE57" s="299"/>
      <c r="CF57" s="666"/>
      <c r="CG57" s="665"/>
      <c r="CH57" s="299"/>
      <c r="CI57" s="299"/>
      <c r="CJ57" s="299"/>
      <c r="CK57" s="666"/>
      <c r="CL57" s="665"/>
      <c r="CM57" s="299"/>
      <c r="CN57" s="299"/>
      <c r="CO57" s="299"/>
      <c r="CP57" s="666"/>
      <c r="CQ57" s="665"/>
      <c r="CR57" s="299"/>
      <c r="CS57" s="299"/>
      <c r="CT57" s="299"/>
      <c r="CU57" s="666"/>
      <c r="CV57" s="665"/>
      <c r="CW57" s="299"/>
      <c r="CX57" s="299"/>
      <c r="CY57" s="299"/>
      <c r="CZ57" s="666"/>
      <c r="DA57" s="665"/>
      <c r="DB57" s="299"/>
      <c r="DC57" s="299"/>
      <c r="DD57" s="299"/>
      <c r="DE57" s="666"/>
      <c r="DF57" s="665"/>
      <c r="DG57" s="299"/>
      <c r="DH57" s="299"/>
      <c r="DI57" s="299"/>
      <c r="DJ57" s="666"/>
      <c r="DK57" s="665"/>
      <c r="DL57" s="299"/>
      <c r="DM57" s="299"/>
      <c r="DN57" s="299"/>
      <c r="DO57" s="666"/>
      <c r="DP57" s="665"/>
      <c r="DQ57" s="299"/>
      <c r="DR57" s="299"/>
      <c r="DS57" s="299"/>
      <c r="DT57" s="666"/>
      <c r="DU57" s="665"/>
      <c r="DV57" s="299"/>
      <c r="DW57" s="299"/>
      <c r="DX57" s="299"/>
      <c r="DY57" s="666"/>
      <c r="DZ57" s="665"/>
      <c r="EA57" s="299"/>
      <c r="EB57" s="299"/>
      <c r="EC57" s="299"/>
      <c r="ED57" s="666"/>
      <c r="EE57" s="665"/>
      <c r="EF57" s="299"/>
      <c r="EG57" s="299"/>
      <c r="EH57" s="299"/>
      <c r="EI57" s="666"/>
      <c r="EJ57" s="665"/>
      <c r="EK57" s="299"/>
      <c r="EL57" s="299"/>
      <c r="EM57" s="299"/>
      <c r="EN57" s="666"/>
      <c r="EO57" s="665"/>
      <c r="EP57" s="299"/>
      <c r="EQ57" s="299"/>
      <c r="ER57" s="299"/>
      <c r="ES57" s="666"/>
      <c r="ET57" s="665"/>
      <c r="EU57" s="299"/>
      <c r="EV57" s="299"/>
      <c r="EW57" s="299"/>
      <c r="EX57" s="666"/>
      <c r="EY57" s="665"/>
      <c r="EZ57" s="299"/>
      <c r="FA57" s="299"/>
      <c r="FB57" s="299"/>
      <c r="FC57" s="666"/>
      <c r="FD57" s="665"/>
      <c r="FE57" s="299"/>
      <c r="FF57" s="299"/>
      <c r="FG57" s="299"/>
      <c r="FH57" s="666"/>
    </row>
    <row r="58" spans="2:164" ht="13.5" hidden="1" customHeight="1">
      <c r="B58" s="670" t="s">
        <v>1383</v>
      </c>
      <c r="C58" s="671"/>
      <c r="D58" s="671"/>
      <c r="E58" s="671"/>
      <c r="F58" s="672"/>
      <c r="G58" s="672"/>
      <c r="H58" s="673"/>
      <c r="I58" s="674"/>
      <c r="J58" s="675"/>
      <c r="K58" s="676"/>
      <c r="L58" s="677"/>
      <c r="M58" s="677"/>
      <c r="N58" s="677"/>
      <c r="O58" s="678"/>
      <c r="P58" s="677"/>
      <c r="Q58" s="677"/>
      <c r="R58" s="677"/>
      <c r="S58" s="679"/>
      <c r="T58" s="678"/>
      <c r="U58" s="677"/>
      <c r="V58" s="677"/>
      <c r="W58" s="677"/>
      <c r="X58" s="679"/>
      <c r="Y58" s="678"/>
      <c r="Z58" s="677"/>
      <c r="AA58" s="677"/>
      <c r="AB58" s="677"/>
      <c r="AC58" s="679"/>
      <c r="AD58" s="678"/>
      <c r="AE58" s="677"/>
      <c r="AF58" s="677"/>
      <c r="AG58" s="677"/>
      <c r="AH58" s="679"/>
      <c r="AI58" s="678"/>
      <c r="AJ58" s="677"/>
      <c r="AK58" s="677"/>
      <c r="AL58" s="677"/>
      <c r="AM58" s="679"/>
      <c r="AN58" s="678"/>
      <c r="AO58" s="677"/>
      <c r="AP58" s="677"/>
      <c r="AQ58" s="677"/>
      <c r="AR58" s="679"/>
      <c r="AS58" s="678"/>
      <c r="AT58" s="677"/>
      <c r="AU58" s="677"/>
      <c r="AV58" s="677"/>
      <c r="AW58" s="679"/>
      <c r="AX58" s="678"/>
      <c r="AY58" s="677"/>
      <c r="AZ58" s="677"/>
      <c r="BA58" s="677"/>
      <c r="BB58" s="679"/>
      <c r="BC58" s="678"/>
      <c r="BD58" s="677"/>
      <c r="BE58" s="677"/>
      <c r="BF58" s="677"/>
      <c r="BG58" s="679"/>
      <c r="BH58" s="678"/>
      <c r="BI58" s="677"/>
      <c r="BJ58" s="677"/>
      <c r="BK58" s="677"/>
      <c r="BL58" s="679"/>
      <c r="BM58" s="678"/>
      <c r="BN58" s="677"/>
      <c r="BO58" s="677"/>
      <c r="BP58" s="677"/>
      <c r="BQ58" s="679"/>
      <c r="BR58" s="678"/>
      <c r="BS58" s="677"/>
      <c r="BT58" s="677"/>
      <c r="BU58" s="677"/>
      <c r="BV58" s="679"/>
      <c r="BW58" s="678"/>
      <c r="BX58" s="677"/>
      <c r="BY58" s="677"/>
      <c r="BZ58" s="677"/>
      <c r="CA58" s="679"/>
      <c r="CB58" s="678"/>
      <c r="CC58" s="677"/>
      <c r="CD58" s="677"/>
      <c r="CE58" s="677"/>
      <c r="CF58" s="679"/>
      <c r="CG58" s="678"/>
      <c r="CH58" s="677"/>
      <c r="CI58" s="677"/>
      <c r="CJ58" s="677"/>
      <c r="CK58" s="679"/>
      <c r="CL58" s="678"/>
      <c r="CM58" s="677"/>
      <c r="CN58" s="677"/>
      <c r="CO58" s="677"/>
      <c r="CP58" s="679"/>
      <c r="CQ58" s="678"/>
      <c r="CR58" s="677"/>
      <c r="CS58" s="677"/>
      <c r="CT58" s="677"/>
      <c r="CU58" s="679"/>
      <c r="CV58" s="678"/>
      <c r="CW58" s="677"/>
      <c r="CX58" s="677"/>
      <c r="CY58" s="677"/>
      <c r="CZ58" s="679"/>
      <c r="DA58" s="678"/>
      <c r="DB58" s="677"/>
      <c r="DC58" s="677"/>
      <c r="DD58" s="677"/>
      <c r="DE58" s="679"/>
      <c r="DF58" s="678"/>
      <c r="DG58" s="677"/>
      <c r="DH58" s="677"/>
      <c r="DI58" s="677"/>
      <c r="DJ58" s="679"/>
      <c r="DK58" s="678"/>
      <c r="DL58" s="677"/>
      <c r="DM58" s="677"/>
      <c r="DN58" s="677"/>
      <c r="DO58" s="679"/>
      <c r="DP58" s="678"/>
      <c r="DQ58" s="677"/>
      <c r="DR58" s="677"/>
      <c r="DS58" s="677"/>
      <c r="DT58" s="679"/>
      <c r="DU58" s="678"/>
      <c r="DV58" s="677"/>
      <c r="DW58" s="677"/>
      <c r="DX58" s="677"/>
      <c r="DY58" s="679"/>
      <c r="DZ58" s="678"/>
      <c r="EA58" s="677"/>
      <c r="EB58" s="677"/>
      <c r="EC58" s="677"/>
      <c r="ED58" s="679"/>
      <c r="EE58" s="678"/>
      <c r="EF58" s="677"/>
      <c r="EG58" s="677"/>
      <c r="EH58" s="677"/>
      <c r="EI58" s="679"/>
      <c r="EJ58" s="678"/>
      <c r="EK58" s="677"/>
      <c r="EL58" s="677"/>
      <c r="EM58" s="677"/>
      <c r="EN58" s="679"/>
      <c r="EO58" s="678"/>
      <c r="EP58" s="677"/>
      <c r="EQ58" s="677"/>
      <c r="ER58" s="677"/>
      <c r="ES58" s="679"/>
      <c r="ET58" s="678"/>
      <c r="EU58" s="677"/>
      <c r="EV58" s="677"/>
      <c r="EW58" s="677"/>
      <c r="EX58" s="679"/>
      <c r="EY58" s="678"/>
      <c r="EZ58" s="677"/>
      <c r="FA58" s="677"/>
      <c r="FB58" s="677"/>
      <c r="FC58" s="679"/>
      <c r="FD58" s="678"/>
      <c r="FE58" s="677"/>
      <c r="FF58" s="677"/>
      <c r="FG58" s="677"/>
      <c r="FH58" s="679"/>
    </row>
    <row r="59" spans="2:164" ht="14.25" customHeight="1" thickBot="1">
      <c r="B59" s="658" t="s">
        <v>1384</v>
      </c>
      <c r="C59" s="659"/>
      <c r="D59" s="659"/>
      <c r="E59" s="659"/>
      <c r="F59" s="660">
        <f>'[1]基本 (1)'!L104</f>
        <v>0.9</v>
      </c>
      <c r="G59" s="660">
        <f>ROUND(F59*1.7,1)</f>
        <v>1.5</v>
      </c>
      <c r="H59" s="684" t="s">
        <v>1375</v>
      </c>
      <c r="I59" s="685" t="s">
        <v>1383</v>
      </c>
      <c r="J59" s="663">
        <v>21</v>
      </c>
      <c r="K59" s="664"/>
      <c r="L59" s="299"/>
      <c r="M59" s="299"/>
      <c r="N59" s="299"/>
      <c r="O59" s="665"/>
      <c r="P59" s="299"/>
      <c r="Q59" s="299"/>
      <c r="R59" s="299"/>
      <c r="S59" s="666"/>
      <c r="T59" s="665"/>
      <c r="U59" s="299"/>
      <c r="V59" s="299"/>
      <c r="W59" s="299"/>
      <c r="X59" s="666"/>
      <c r="Y59" s="665"/>
      <c r="Z59" s="299"/>
      <c r="AA59" s="299"/>
      <c r="AB59" s="299"/>
      <c r="AC59" s="666"/>
      <c r="AD59" s="665"/>
      <c r="AE59" s="299"/>
      <c r="AF59" s="299"/>
      <c r="AG59" s="299"/>
      <c r="AH59" s="666"/>
      <c r="AI59" s="665"/>
      <c r="AJ59" s="299"/>
      <c r="AK59" s="299"/>
      <c r="AL59" s="299"/>
      <c r="AM59" s="666"/>
      <c r="AN59" s="665"/>
      <c r="AO59" s="299"/>
      <c r="AP59" s="299"/>
      <c r="AQ59" s="299"/>
      <c r="AR59" s="666"/>
      <c r="AS59" s="665"/>
      <c r="AT59" s="299"/>
      <c r="AU59" s="299"/>
      <c r="AV59" s="299"/>
      <c r="AW59" s="666"/>
      <c r="AX59" s="665"/>
      <c r="AY59" s="299"/>
      <c r="AZ59" s="299"/>
      <c r="BA59" s="299"/>
      <c r="BB59" s="666"/>
      <c r="BC59" s="665"/>
      <c r="BD59" s="299"/>
      <c r="BE59" s="299"/>
      <c r="BF59" s="299"/>
      <c r="BG59" s="666"/>
      <c r="BH59" s="665"/>
      <c r="BI59" s="299"/>
      <c r="BJ59" s="299"/>
      <c r="BK59" s="299"/>
      <c r="BL59" s="666"/>
      <c r="BM59" s="665"/>
      <c r="BN59" s="299"/>
      <c r="BO59" s="299"/>
      <c r="BP59" s="299"/>
      <c r="BQ59" s="666"/>
      <c r="BR59" s="665"/>
      <c r="BS59" s="299"/>
      <c r="BT59" s="299"/>
      <c r="BU59" s="299"/>
      <c r="BV59" s="666"/>
      <c r="BW59" s="665"/>
      <c r="BX59" s="299"/>
      <c r="BY59" s="299"/>
      <c r="BZ59" s="299"/>
      <c r="CA59" s="666"/>
      <c r="CB59" s="665"/>
      <c r="CC59" s="299"/>
      <c r="CD59" s="299"/>
      <c r="CE59" s="299"/>
      <c r="CF59" s="666"/>
      <c r="CG59" s="665"/>
      <c r="CH59" s="299"/>
      <c r="CI59" s="299"/>
      <c r="CJ59" s="299"/>
      <c r="CK59" s="666"/>
      <c r="CL59" s="665"/>
      <c r="CM59" s="299"/>
      <c r="CN59" s="299"/>
      <c r="CO59" s="299"/>
      <c r="CP59" s="666"/>
      <c r="CQ59" s="665"/>
      <c r="CR59" s="299"/>
      <c r="CS59" s="299"/>
      <c r="CT59" s="299"/>
      <c r="CU59" s="666"/>
      <c r="CV59" s="665"/>
      <c r="CW59" s="299"/>
      <c r="CX59" s="299"/>
      <c r="CY59" s="299"/>
      <c r="CZ59" s="666"/>
      <c r="DA59" s="665"/>
      <c r="DB59" s="299"/>
      <c r="DC59" s="299"/>
      <c r="DD59" s="299"/>
      <c r="DE59" s="666"/>
      <c r="DF59" s="665"/>
      <c r="DG59" s="299"/>
      <c r="DH59" s="299"/>
      <c r="DI59" s="299"/>
      <c r="DJ59" s="666"/>
      <c r="DK59" s="665"/>
      <c r="DL59" s="299"/>
      <c r="DM59" s="299"/>
      <c r="DN59" s="299"/>
      <c r="DO59" s="666"/>
      <c r="DP59" s="665"/>
      <c r="DQ59" s="299"/>
      <c r="DR59" s="299"/>
      <c r="DS59" s="299"/>
      <c r="DT59" s="666"/>
      <c r="DU59" s="665"/>
      <c r="DV59" s="299"/>
      <c r="DW59" s="299"/>
      <c r="DX59" s="299"/>
      <c r="DY59" s="666"/>
      <c r="DZ59" s="693"/>
      <c r="EA59" s="299"/>
      <c r="EB59" s="299"/>
      <c r="EC59" s="299"/>
      <c r="ED59" s="666"/>
      <c r="EE59" s="665"/>
      <c r="EF59" s="299"/>
      <c r="EG59" s="299"/>
      <c r="EH59" s="299"/>
      <c r="EI59" s="666"/>
      <c r="EJ59" s="665"/>
      <c r="EK59" s="299"/>
      <c r="EL59" s="299"/>
      <c r="EM59" s="299"/>
      <c r="EN59" s="666"/>
      <c r="EO59" s="665"/>
      <c r="EP59" s="299"/>
      <c r="EQ59" s="299"/>
      <c r="ER59" s="299"/>
      <c r="ES59" s="666"/>
      <c r="ET59" s="665"/>
      <c r="EU59" s="299"/>
      <c r="EV59" s="299"/>
      <c r="EW59" s="299"/>
      <c r="EX59" s="666"/>
      <c r="EY59" s="665"/>
      <c r="EZ59" s="299"/>
      <c r="FA59" s="299"/>
      <c r="FB59" s="299"/>
      <c r="FC59" s="666"/>
      <c r="FD59" s="665"/>
      <c r="FE59" s="299"/>
      <c r="FF59" s="299"/>
      <c r="FG59" s="299"/>
      <c r="FH59" s="666"/>
    </row>
    <row r="60" spans="2:164" ht="13.5" customHeight="1">
      <c r="B60" s="670" t="s">
        <v>1375</v>
      </c>
      <c r="C60" s="671"/>
      <c r="D60" s="671"/>
      <c r="E60" s="671"/>
      <c r="F60" s="672"/>
      <c r="G60" s="672"/>
      <c r="H60" s="673"/>
      <c r="I60" s="674"/>
      <c r="J60" s="675"/>
      <c r="K60" s="676"/>
      <c r="L60" s="677"/>
      <c r="M60" s="677"/>
      <c r="N60" s="677"/>
      <c r="O60" s="678"/>
      <c r="P60" s="677"/>
      <c r="Q60" s="677"/>
      <c r="R60" s="677"/>
      <c r="S60" s="679"/>
      <c r="T60" s="678"/>
      <c r="U60" s="677"/>
      <c r="V60" s="677"/>
      <c r="W60" s="677"/>
      <c r="X60" s="679"/>
      <c r="Y60" s="678"/>
      <c r="Z60" s="677"/>
      <c r="AA60" s="677"/>
      <c r="AB60" s="677"/>
      <c r="AC60" s="679"/>
      <c r="AD60" s="678"/>
      <c r="AE60" s="677"/>
      <c r="AF60" s="677"/>
      <c r="AG60" s="677"/>
      <c r="AH60" s="679"/>
      <c r="AI60" s="678"/>
      <c r="AJ60" s="677"/>
      <c r="AK60" s="677"/>
      <c r="AL60" s="677"/>
      <c r="AM60" s="679"/>
      <c r="AN60" s="678"/>
      <c r="AO60" s="677"/>
      <c r="AP60" s="677"/>
      <c r="AQ60" s="677"/>
      <c r="AR60" s="679"/>
      <c r="AS60" s="678"/>
      <c r="AT60" s="677"/>
      <c r="AU60" s="677"/>
      <c r="AV60" s="677"/>
      <c r="AW60" s="679"/>
      <c r="AX60" s="678"/>
      <c r="AY60" s="677"/>
      <c r="AZ60" s="677"/>
      <c r="BA60" s="677"/>
      <c r="BB60" s="679"/>
      <c r="BC60" s="678"/>
      <c r="BD60" s="677"/>
      <c r="BE60" s="677"/>
      <c r="BF60" s="677"/>
      <c r="BG60" s="679"/>
      <c r="BH60" s="678"/>
      <c r="BI60" s="677"/>
      <c r="BJ60" s="677"/>
      <c r="BK60" s="677"/>
      <c r="BL60" s="679"/>
      <c r="BM60" s="678"/>
      <c r="BN60" s="677"/>
      <c r="BO60" s="677"/>
      <c r="BP60" s="677"/>
      <c r="BQ60" s="679"/>
      <c r="BR60" s="678"/>
      <c r="BS60" s="677"/>
      <c r="BT60" s="677"/>
      <c r="BU60" s="677"/>
      <c r="BV60" s="679"/>
      <c r="BW60" s="678"/>
      <c r="BX60" s="677"/>
      <c r="BY60" s="677"/>
      <c r="BZ60" s="677"/>
      <c r="CA60" s="679"/>
      <c r="CB60" s="678"/>
      <c r="CC60" s="677"/>
      <c r="CD60" s="677"/>
      <c r="CE60" s="677"/>
      <c r="CF60" s="679"/>
      <c r="CG60" s="678"/>
      <c r="CH60" s="677"/>
      <c r="CI60" s="677"/>
      <c r="CJ60" s="677"/>
      <c r="CK60" s="679"/>
      <c r="CL60" s="678"/>
      <c r="CM60" s="677"/>
      <c r="CN60" s="677"/>
      <c r="CO60" s="677"/>
      <c r="CP60" s="679"/>
      <c r="CQ60" s="678"/>
      <c r="CR60" s="677"/>
      <c r="CS60" s="677"/>
      <c r="CT60" s="677"/>
      <c r="CU60" s="679"/>
      <c r="CV60" s="678"/>
      <c r="CW60" s="677"/>
      <c r="CX60" s="677"/>
      <c r="CY60" s="677"/>
      <c r="CZ60" s="679"/>
      <c r="DA60" s="678"/>
      <c r="DB60" s="677"/>
      <c r="DC60" s="677"/>
      <c r="DD60" s="677"/>
      <c r="DE60" s="679"/>
      <c r="DF60" s="678"/>
      <c r="DG60" s="677"/>
      <c r="DH60" s="677"/>
      <c r="DI60" s="677"/>
      <c r="DJ60" s="679"/>
      <c r="DK60" s="678"/>
      <c r="DL60" s="677"/>
      <c r="DM60" s="677"/>
      <c r="DN60" s="677"/>
      <c r="DO60" s="679"/>
      <c r="DP60" s="678"/>
      <c r="DQ60" s="677"/>
      <c r="DR60" s="677"/>
      <c r="DS60" s="677"/>
      <c r="DT60" s="679"/>
      <c r="DU60" s="678"/>
      <c r="DV60" s="677"/>
      <c r="DW60" s="677"/>
      <c r="DX60" s="677"/>
      <c r="DY60" s="679"/>
      <c r="DZ60" s="678"/>
      <c r="EA60" s="677"/>
      <c r="EB60" s="677"/>
      <c r="EC60" s="677"/>
      <c r="ED60" s="679"/>
      <c r="EE60" s="678"/>
      <c r="EF60" s="677"/>
      <c r="EG60" s="677"/>
      <c r="EH60" s="677"/>
      <c r="EI60" s="679"/>
      <c r="EJ60" s="678"/>
      <c r="EK60" s="677"/>
      <c r="EL60" s="677"/>
      <c r="EM60" s="677"/>
      <c r="EN60" s="679"/>
      <c r="EO60" s="678"/>
      <c r="EP60" s="677"/>
      <c r="EQ60" s="677"/>
      <c r="ER60" s="677"/>
      <c r="ES60" s="679"/>
      <c r="ET60" s="678"/>
      <c r="EU60" s="677"/>
      <c r="EV60" s="677"/>
      <c r="EW60" s="677"/>
      <c r="EX60" s="679"/>
      <c r="EY60" s="678"/>
      <c r="EZ60" s="677"/>
      <c r="FA60" s="677"/>
      <c r="FB60" s="677"/>
      <c r="FC60" s="679"/>
      <c r="FD60" s="678"/>
      <c r="FE60" s="677"/>
      <c r="FF60" s="677"/>
      <c r="FG60" s="677"/>
      <c r="FH60" s="679"/>
    </row>
    <row r="61" spans="2:164" ht="14.25" hidden="1" customHeight="1">
      <c r="B61" s="658" t="s">
        <v>1001</v>
      </c>
      <c r="C61" s="659"/>
      <c r="D61" s="659"/>
      <c r="E61" s="694"/>
      <c r="F61" s="660">
        <f>'[1]基本 (1)'!L105</f>
        <v>0</v>
      </c>
      <c r="G61" s="660">
        <f>ROUND(F61*1.7,1)</f>
        <v>0</v>
      </c>
      <c r="H61" s="684" t="s">
        <v>1375</v>
      </c>
      <c r="I61" s="685" t="s">
        <v>1375</v>
      </c>
      <c r="J61" s="663"/>
      <c r="K61" s="664"/>
      <c r="L61" s="299"/>
      <c r="M61" s="299"/>
      <c r="N61" s="299"/>
      <c r="O61" s="665"/>
      <c r="P61" s="299"/>
      <c r="Q61" s="299"/>
      <c r="R61" s="299"/>
      <c r="S61" s="666"/>
      <c r="T61" s="665"/>
      <c r="U61" s="299"/>
      <c r="V61" s="299"/>
      <c r="W61" s="299"/>
      <c r="X61" s="666"/>
      <c r="Y61" s="665"/>
      <c r="Z61" s="299"/>
      <c r="AA61" s="299"/>
      <c r="AB61" s="299"/>
      <c r="AC61" s="666"/>
      <c r="AD61" s="665"/>
      <c r="AE61" s="299"/>
      <c r="AF61" s="299"/>
      <c r="AG61" s="299"/>
      <c r="AH61" s="666"/>
      <c r="AI61" s="665"/>
      <c r="AJ61" s="299"/>
      <c r="AK61" s="299"/>
      <c r="AL61" s="299"/>
      <c r="AM61" s="666"/>
      <c r="AN61" s="665"/>
      <c r="AO61" s="299"/>
      <c r="AP61" s="299"/>
      <c r="AQ61" s="299"/>
      <c r="AR61" s="666"/>
      <c r="AS61" s="665"/>
      <c r="AT61" s="299"/>
      <c r="AU61" s="299"/>
      <c r="AV61" s="299"/>
      <c r="AW61" s="666"/>
      <c r="AX61" s="665"/>
      <c r="AY61" s="299"/>
      <c r="AZ61" s="299"/>
      <c r="BA61" s="299"/>
      <c r="BB61" s="666"/>
      <c r="BC61" s="665"/>
      <c r="BD61" s="299"/>
      <c r="BE61" s="299"/>
      <c r="BF61" s="299"/>
      <c r="BG61" s="666"/>
      <c r="BH61" s="665"/>
      <c r="BI61" s="299"/>
      <c r="BJ61" s="299"/>
      <c r="BK61" s="299"/>
      <c r="BL61" s="666"/>
      <c r="BM61" s="665"/>
      <c r="BN61" s="299"/>
      <c r="BO61" s="299"/>
      <c r="BP61" s="299"/>
      <c r="BQ61" s="666"/>
      <c r="BR61" s="665"/>
      <c r="BS61" s="299"/>
      <c r="BT61" s="299"/>
      <c r="BU61" s="299"/>
      <c r="BV61" s="666"/>
      <c r="BW61" s="665"/>
      <c r="BX61" s="299"/>
      <c r="BY61" s="299"/>
      <c r="BZ61" s="299"/>
      <c r="CA61" s="666"/>
      <c r="CB61" s="665"/>
      <c r="CC61" s="299"/>
      <c r="CD61" s="299"/>
      <c r="CE61" s="299"/>
      <c r="CF61" s="666"/>
      <c r="CG61" s="665"/>
      <c r="CH61" s="299"/>
      <c r="CI61" s="299"/>
      <c r="CJ61" s="299"/>
      <c r="CK61" s="666"/>
      <c r="CL61" s="665"/>
      <c r="CM61" s="299"/>
      <c r="CN61" s="299"/>
      <c r="CO61" s="299"/>
      <c r="CP61" s="666"/>
      <c r="CQ61" s="665"/>
      <c r="CR61" s="299"/>
      <c r="CS61" s="299"/>
      <c r="CT61" s="299"/>
      <c r="CU61" s="666"/>
      <c r="CV61" s="665"/>
      <c r="CW61" s="299"/>
      <c r="CX61" s="299"/>
      <c r="CY61" s="299"/>
      <c r="CZ61" s="666"/>
      <c r="DA61" s="665"/>
      <c r="DB61" s="299"/>
      <c r="DC61" s="299"/>
      <c r="DD61" s="299"/>
      <c r="DE61" s="666"/>
      <c r="DF61" s="665"/>
      <c r="DG61" s="299"/>
      <c r="DH61" s="299"/>
      <c r="DI61" s="299"/>
      <c r="DJ61" s="666"/>
      <c r="DK61" s="665"/>
      <c r="DL61" s="299"/>
      <c r="DM61" s="299"/>
      <c r="DN61" s="299"/>
      <c r="DO61" s="666"/>
      <c r="DP61" s="665"/>
      <c r="DQ61" s="299"/>
      <c r="DR61" s="299"/>
      <c r="DS61" s="299"/>
      <c r="DT61" s="666"/>
      <c r="DU61" s="665"/>
      <c r="DV61" s="299"/>
      <c r="DW61" s="299"/>
      <c r="DX61" s="299"/>
      <c r="DY61" s="666"/>
      <c r="DZ61" s="665"/>
      <c r="EA61" s="299"/>
      <c r="EB61" s="299"/>
      <c r="EC61" s="299"/>
      <c r="ED61" s="666"/>
      <c r="EE61" s="665"/>
      <c r="EF61" s="299"/>
      <c r="EG61" s="299"/>
      <c r="EH61" s="299"/>
      <c r="EI61" s="666"/>
      <c r="EJ61" s="665"/>
      <c r="EK61" s="299"/>
      <c r="EL61" s="299"/>
      <c r="EM61" s="299"/>
      <c r="EN61" s="666"/>
      <c r="EO61" s="665"/>
      <c r="EP61" s="299"/>
      <c r="EQ61" s="299"/>
      <c r="ER61" s="299"/>
      <c r="ES61" s="666"/>
      <c r="ET61" s="665"/>
      <c r="EU61" s="299"/>
      <c r="EV61" s="299"/>
      <c r="EW61" s="299"/>
      <c r="EX61" s="666"/>
      <c r="EY61" s="665"/>
      <c r="EZ61" s="299"/>
      <c r="FA61" s="299"/>
      <c r="FB61" s="299"/>
      <c r="FC61" s="666"/>
      <c r="FD61" s="665"/>
      <c r="FE61" s="299"/>
      <c r="FF61" s="299"/>
      <c r="FG61" s="299"/>
      <c r="FH61" s="666"/>
    </row>
    <row r="62" spans="2:164" ht="13.5" hidden="1" customHeight="1">
      <c r="B62" s="670" t="s">
        <v>1375</v>
      </c>
      <c r="C62" s="671"/>
      <c r="D62" s="671"/>
      <c r="E62" s="671"/>
      <c r="F62" s="672"/>
      <c r="G62" s="672"/>
      <c r="H62" s="673"/>
      <c r="I62" s="674"/>
      <c r="J62" s="663"/>
      <c r="K62" s="664"/>
      <c r="L62" s="299"/>
      <c r="M62" s="299"/>
      <c r="N62" s="299"/>
      <c r="O62" s="665"/>
      <c r="P62" s="299"/>
      <c r="Q62" s="299"/>
      <c r="R62" s="299"/>
      <c r="S62" s="666"/>
      <c r="T62" s="665"/>
      <c r="U62" s="299"/>
      <c r="V62" s="299"/>
      <c r="W62" s="299"/>
      <c r="X62" s="666"/>
      <c r="Y62" s="665"/>
      <c r="Z62" s="299"/>
      <c r="AA62" s="299"/>
      <c r="AB62" s="299"/>
      <c r="AC62" s="666"/>
      <c r="AD62" s="665"/>
      <c r="AE62" s="299"/>
      <c r="AF62" s="299"/>
      <c r="AG62" s="299"/>
      <c r="AH62" s="666"/>
      <c r="AI62" s="665"/>
      <c r="AJ62" s="299"/>
      <c r="AK62" s="299"/>
      <c r="AL62" s="299"/>
      <c r="AM62" s="666"/>
      <c r="AN62" s="665"/>
      <c r="AO62" s="299"/>
      <c r="AP62" s="299"/>
      <c r="AQ62" s="299"/>
      <c r="AR62" s="666"/>
      <c r="AS62" s="665"/>
      <c r="AT62" s="299"/>
      <c r="AU62" s="299"/>
      <c r="AV62" s="299"/>
      <c r="AW62" s="666"/>
      <c r="AX62" s="665"/>
      <c r="AY62" s="299"/>
      <c r="AZ62" s="299"/>
      <c r="BA62" s="299"/>
      <c r="BB62" s="666"/>
      <c r="BC62" s="665"/>
      <c r="BD62" s="299"/>
      <c r="BE62" s="299"/>
      <c r="BF62" s="299"/>
      <c r="BG62" s="666"/>
      <c r="BH62" s="665"/>
      <c r="BI62" s="299"/>
      <c r="BJ62" s="299"/>
      <c r="BK62" s="299"/>
      <c r="BL62" s="666"/>
      <c r="BM62" s="665"/>
      <c r="BN62" s="299"/>
      <c r="BO62" s="299"/>
      <c r="BP62" s="299"/>
      <c r="BQ62" s="666"/>
      <c r="BR62" s="665"/>
      <c r="BS62" s="299"/>
      <c r="BT62" s="299"/>
      <c r="BU62" s="299"/>
      <c r="BV62" s="666"/>
      <c r="BW62" s="665"/>
      <c r="BX62" s="299"/>
      <c r="BY62" s="299"/>
      <c r="BZ62" s="299"/>
      <c r="CA62" s="666"/>
      <c r="CB62" s="665"/>
      <c r="CC62" s="299"/>
      <c r="CD62" s="299"/>
      <c r="CE62" s="299"/>
      <c r="CF62" s="666"/>
      <c r="CG62" s="665"/>
      <c r="CH62" s="299"/>
      <c r="CI62" s="299"/>
      <c r="CJ62" s="299"/>
      <c r="CK62" s="666"/>
      <c r="CL62" s="665"/>
      <c r="CM62" s="299"/>
      <c r="CN62" s="299"/>
      <c r="CO62" s="299"/>
      <c r="CP62" s="666"/>
      <c r="CQ62" s="665"/>
      <c r="CR62" s="299"/>
      <c r="CS62" s="299"/>
      <c r="CT62" s="299"/>
      <c r="CU62" s="666"/>
      <c r="CV62" s="665"/>
      <c r="CW62" s="299"/>
      <c r="CX62" s="299"/>
      <c r="CY62" s="299"/>
      <c r="CZ62" s="666"/>
      <c r="DA62" s="665"/>
      <c r="DB62" s="299"/>
      <c r="DC62" s="299"/>
      <c r="DD62" s="299"/>
      <c r="DE62" s="666"/>
      <c r="DF62" s="665"/>
      <c r="DG62" s="299"/>
      <c r="DH62" s="299"/>
      <c r="DI62" s="299"/>
      <c r="DJ62" s="666"/>
      <c r="DK62" s="665"/>
      <c r="DL62" s="299"/>
      <c r="DM62" s="299"/>
      <c r="DN62" s="299"/>
      <c r="DO62" s="666"/>
      <c r="DP62" s="665"/>
      <c r="DQ62" s="299"/>
      <c r="DR62" s="299"/>
      <c r="DS62" s="299"/>
      <c r="DT62" s="666"/>
      <c r="DU62" s="665"/>
      <c r="DV62" s="299"/>
      <c r="DW62" s="299"/>
      <c r="DX62" s="299"/>
      <c r="DY62" s="666"/>
      <c r="DZ62" s="665"/>
      <c r="EA62" s="299"/>
      <c r="EB62" s="299"/>
      <c r="EC62" s="299"/>
      <c r="ED62" s="666"/>
      <c r="EE62" s="665"/>
      <c r="EF62" s="299"/>
      <c r="EG62" s="299"/>
      <c r="EH62" s="299"/>
      <c r="EI62" s="666"/>
      <c r="EJ62" s="665"/>
      <c r="EK62" s="299"/>
      <c r="EL62" s="299"/>
      <c r="EM62" s="299"/>
      <c r="EN62" s="666"/>
      <c r="EO62" s="665"/>
      <c r="EP62" s="299"/>
      <c r="EQ62" s="299"/>
      <c r="ER62" s="299"/>
      <c r="ES62" s="666"/>
      <c r="ET62" s="665"/>
      <c r="EU62" s="299"/>
      <c r="EV62" s="299"/>
      <c r="EW62" s="299"/>
      <c r="EX62" s="666"/>
      <c r="EY62" s="665"/>
      <c r="EZ62" s="299"/>
      <c r="FA62" s="299"/>
      <c r="FB62" s="299"/>
      <c r="FC62" s="666"/>
      <c r="FD62" s="665"/>
      <c r="FE62" s="299"/>
      <c r="FF62" s="299"/>
      <c r="FG62" s="299"/>
      <c r="FH62" s="666"/>
    </row>
    <row r="63" spans="2:164">
      <c r="B63" s="658" t="s">
        <v>152</v>
      </c>
      <c r="C63" s="659"/>
      <c r="D63" s="659"/>
      <c r="E63" s="659"/>
      <c r="F63" s="660">
        <f>SUM(F7:F62)</f>
        <v>176.70000000000002</v>
      </c>
      <c r="G63" s="660">
        <f>SUM(G7:G62)</f>
        <v>300.39999999999998</v>
      </c>
      <c r="H63" s="684" t="s">
        <v>1383</v>
      </c>
      <c r="I63" s="685" t="s">
        <v>1383</v>
      </c>
      <c r="J63" s="686"/>
      <c r="K63" s="687"/>
      <c r="L63" s="688"/>
      <c r="M63" s="688"/>
      <c r="N63" s="688"/>
      <c r="O63" s="689"/>
      <c r="P63" s="688"/>
      <c r="Q63" s="688"/>
      <c r="R63" s="688"/>
      <c r="S63" s="690"/>
      <c r="T63" s="689"/>
      <c r="U63" s="688"/>
      <c r="V63" s="688"/>
      <c r="W63" s="688"/>
      <c r="X63" s="690"/>
      <c r="Y63" s="689"/>
      <c r="Z63" s="688"/>
      <c r="AA63" s="688"/>
      <c r="AB63" s="688"/>
      <c r="AC63" s="690"/>
      <c r="AD63" s="689"/>
      <c r="AE63" s="688"/>
      <c r="AF63" s="688"/>
      <c r="AG63" s="688"/>
      <c r="AH63" s="690"/>
      <c r="AI63" s="689"/>
      <c r="AJ63" s="688"/>
      <c r="AK63" s="688"/>
      <c r="AL63" s="688"/>
      <c r="AM63" s="690"/>
      <c r="AN63" s="689"/>
      <c r="AO63" s="688"/>
      <c r="AP63" s="688"/>
      <c r="AQ63" s="688"/>
      <c r="AR63" s="690"/>
      <c r="AS63" s="689"/>
      <c r="AT63" s="688"/>
      <c r="AU63" s="688"/>
      <c r="AV63" s="688"/>
      <c r="AW63" s="690"/>
      <c r="AX63" s="689"/>
      <c r="AY63" s="688"/>
      <c r="AZ63" s="688"/>
      <c r="BA63" s="688"/>
      <c r="BB63" s="690"/>
      <c r="BC63" s="689"/>
      <c r="BD63" s="688"/>
      <c r="BE63" s="688"/>
      <c r="BF63" s="688"/>
      <c r="BG63" s="690"/>
      <c r="BH63" s="689"/>
      <c r="BI63" s="688"/>
      <c r="BJ63" s="688"/>
      <c r="BK63" s="688"/>
      <c r="BL63" s="690"/>
      <c r="BM63" s="689"/>
      <c r="BN63" s="688"/>
      <c r="BO63" s="688"/>
      <c r="BP63" s="688"/>
      <c r="BQ63" s="690"/>
      <c r="BR63" s="689"/>
      <c r="BS63" s="688"/>
      <c r="BT63" s="688"/>
      <c r="BU63" s="688"/>
      <c r="BV63" s="690"/>
      <c r="BW63" s="689"/>
      <c r="BX63" s="688"/>
      <c r="BY63" s="688"/>
      <c r="BZ63" s="688"/>
      <c r="CA63" s="690"/>
      <c r="CB63" s="689"/>
      <c r="CC63" s="688"/>
      <c r="CD63" s="688"/>
      <c r="CE63" s="688"/>
      <c r="CF63" s="690"/>
      <c r="CG63" s="689"/>
      <c r="CH63" s="688"/>
      <c r="CI63" s="688"/>
      <c r="CJ63" s="688"/>
      <c r="CK63" s="690"/>
      <c r="CL63" s="689"/>
      <c r="CM63" s="688"/>
      <c r="CN63" s="688"/>
      <c r="CO63" s="688"/>
      <c r="CP63" s="690"/>
      <c r="CQ63" s="689"/>
      <c r="CR63" s="688"/>
      <c r="CS63" s="688"/>
      <c r="CT63" s="688"/>
      <c r="CU63" s="690"/>
      <c r="CV63" s="689"/>
      <c r="CW63" s="688"/>
      <c r="CX63" s="688"/>
      <c r="CY63" s="688"/>
      <c r="CZ63" s="690"/>
      <c r="DA63" s="689"/>
      <c r="DB63" s="688"/>
      <c r="DC63" s="688"/>
      <c r="DD63" s="688"/>
      <c r="DE63" s="690"/>
      <c r="DF63" s="689"/>
      <c r="DG63" s="688"/>
      <c r="DH63" s="688"/>
      <c r="DI63" s="688"/>
      <c r="DJ63" s="690"/>
      <c r="DK63" s="689"/>
      <c r="DL63" s="688"/>
      <c r="DM63" s="688"/>
      <c r="DN63" s="688"/>
      <c r="DO63" s="690"/>
      <c r="DP63" s="689"/>
      <c r="DQ63" s="688"/>
      <c r="DR63" s="688"/>
      <c r="DS63" s="688"/>
      <c r="DT63" s="690"/>
      <c r="DU63" s="689"/>
      <c r="DV63" s="688"/>
      <c r="DW63" s="688"/>
      <c r="DX63" s="688"/>
      <c r="DY63" s="690"/>
      <c r="DZ63" s="689"/>
      <c r="EA63" s="688"/>
      <c r="EB63" s="688"/>
      <c r="EC63" s="688"/>
      <c r="ED63" s="690"/>
      <c r="EE63" s="689"/>
      <c r="EF63" s="688"/>
      <c r="EG63" s="688"/>
      <c r="EH63" s="688"/>
      <c r="EI63" s="690"/>
      <c r="EJ63" s="689"/>
      <c r="EK63" s="688"/>
      <c r="EL63" s="688"/>
      <c r="EM63" s="688"/>
      <c r="EN63" s="690"/>
      <c r="EO63" s="689"/>
      <c r="EP63" s="688"/>
      <c r="EQ63" s="688"/>
      <c r="ER63" s="688"/>
      <c r="ES63" s="690"/>
      <c r="ET63" s="689"/>
      <c r="EU63" s="688"/>
      <c r="EV63" s="688"/>
      <c r="EW63" s="688"/>
      <c r="EX63" s="690"/>
      <c r="EY63" s="689"/>
      <c r="EZ63" s="688"/>
      <c r="FA63" s="688"/>
      <c r="FB63" s="688"/>
      <c r="FC63" s="690"/>
      <c r="FD63" s="689"/>
      <c r="FE63" s="688"/>
      <c r="FF63" s="688"/>
      <c r="FG63" s="688"/>
      <c r="FH63" s="690"/>
    </row>
    <row r="64" spans="2:164" ht="14.25" thickBot="1">
      <c r="B64" s="701"/>
      <c r="C64" s="702"/>
      <c r="D64" s="702"/>
      <c r="E64" s="702"/>
      <c r="F64" s="703"/>
      <c r="G64" s="703"/>
      <c r="H64" s="704"/>
      <c r="I64" s="705"/>
      <c r="J64" s="663"/>
      <c r="K64" s="664"/>
      <c r="L64" s="299"/>
      <c r="M64" s="299"/>
      <c r="N64" s="299"/>
      <c r="O64" s="665"/>
      <c r="P64" s="299"/>
      <c r="Q64" s="299"/>
      <c r="R64" s="299"/>
      <c r="S64" s="666"/>
      <c r="T64" s="665"/>
      <c r="U64" s="299"/>
      <c r="V64" s="299"/>
      <c r="W64" s="299"/>
      <c r="X64" s="666"/>
      <c r="Y64" s="665"/>
      <c r="Z64" s="299"/>
      <c r="AA64" s="299"/>
      <c r="AB64" s="299"/>
      <c r="AC64" s="666"/>
      <c r="AD64" s="665"/>
      <c r="AE64" s="299"/>
      <c r="AF64" s="299"/>
      <c r="AG64" s="299"/>
      <c r="AH64" s="666"/>
      <c r="AI64" s="665"/>
      <c r="AJ64" s="299"/>
      <c r="AK64" s="299"/>
      <c r="AL64" s="299"/>
      <c r="AM64" s="666"/>
      <c r="AN64" s="665"/>
      <c r="AO64" s="299"/>
      <c r="AP64" s="299"/>
      <c r="AQ64" s="299"/>
      <c r="AR64" s="666"/>
      <c r="AS64" s="665"/>
      <c r="AT64" s="299"/>
      <c r="AU64" s="299"/>
      <c r="AV64" s="299"/>
      <c r="AW64" s="666"/>
      <c r="AX64" s="665"/>
      <c r="AY64" s="299"/>
      <c r="AZ64" s="299"/>
      <c r="BA64" s="299"/>
      <c r="BB64" s="666"/>
      <c r="BC64" s="665"/>
      <c r="BD64" s="299"/>
      <c r="BE64" s="299"/>
      <c r="BF64" s="299"/>
      <c r="BG64" s="666"/>
      <c r="BH64" s="665"/>
      <c r="BI64" s="299"/>
      <c r="BJ64" s="299"/>
      <c r="BK64" s="299"/>
      <c r="BL64" s="666"/>
      <c r="BM64" s="665"/>
      <c r="BN64" s="299"/>
      <c r="BO64" s="299"/>
      <c r="BP64" s="299"/>
      <c r="BQ64" s="666"/>
      <c r="BR64" s="665"/>
      <c r="BS64" s="299"/>
      <c r="BT64" s="299"/>
      <c r="BU64" s="299"/>
      <c r="BV64" s="666"/>
      <c r="BW64" s="665"/>
      <c r="BX64" s="299"/>
      <c r="BY64" s="299"/>
      <c r="BZ64" s="299"/>
      <c r="CA64" s="666"/>
      <c r="CB64" s="665"/>
      <c r="CC64" s="299"/>
      <c r="CD64" s="299"/>
      <c r="CE64" s="299"/>
      <c r="CF64" s="666"/>
      <c r="CG64" s="665"/>
      <c r="CH64" s="299"/>
      <c r="CI64" s="299"/>
      <c r="CJ64" s="299"/>
      <c r="CK64" s="666"/>
      <c r="CL64" s="665"/>
      <c r="CM64" s="299"/>
      <c r="CN64" s="299"/>
      <c r="CO64" s="299"/>
      <c r="CP64" s="666"/>
      <c r="CQ64" s="665"/>
      <c r="CR64" s="299"/>
      <c r="CS64" s="299"/>
      <c r="CT64" s="299"/>
      <c r="CU64" s="666"/>
      <c r="CV64" s="665"/>
      <c r="CW64" s="299"/>
      <c r="CX64" s="299"/>
      <c r="CY64" s="299"/>
      <c r="CZ64" s="666"/>
      <c r="DA64" s="665"/>
      <c r="DB64" s="299"/>
      <c r="DC64" s="299"/>
      <c r="DD64" s="299"/>
      <c r="DE64" s="666"/>
      <c r="DF64" s="665"/>
      <c r="DG64" s="299"/>
      <c r="DH64" s="299"/>
      <c r="DI64" s="299"/>
      <c r="DJ64" s="666"/>
      <c r="DK64" s="665"/>
      <c r="DL64" s="299"/>
      <c r="DM64" s="299"/>
      <c r="DN64" s="299"/>
      <c r="DO64" s="666"/>
      <c r="DP64" s="665"/>
      <c r="DQ64" s="299"/>
      <c r="DR64" s="299"/>
      <c r="DS64" s="299"/>
      <c r="DT64" s="666"/>
      <c r="DU64" s="665"/>
      <c r="DV64" s="299"/>
      <c r="DW64" s="299"/>
      <c r="DX64" s="299"/>
      <c r="DY64" s="666"/>
      <c r="DZ64" s="665"/>
      <c r="EA64" s="299"/>
      <c r="EB64" s="299"/>
      <c r="EC64" s="299"/>
      <c r="ED64" s="666"/>
      <c r="EE64" s="665"/>
      <c r="EF64" s="299"/>
      <c r="EG64" s="299"/>
      <c r="EH64" s="299"/>
      <c r="EI64" s="666"/>
      <c r="EJ64" s="665"/>
      <c r="EK64" s="299"/>
      <c r="EL64" s="299"/>
      <c r="EM64" s="299"/>
      <c r="EN64" s="666"/>
      <c r="EO64" s="665"/>
      <c r="EP64" s="299"/>
      <c r="EQ64" s="299"/>
      <c r="ER64" s="299"/>
      <c r="ES64" s="666"/>
      <c r="ET64" s="665"/>
      <c r="EU64" s="299"/>
      <c r="EV64" s="299"/>
      <c r="EW64" s="299"/>
      <c r="EX64" s="666"/>
      <c r="EY64" s="665"/>
      <c r="EZ64" s="299"/>
      <c r="FA64" s="299"/>
      <c r="FB64" s="299"/>
      <c r="FC64" s="666"/>
      <c r="FD64" s="665"/>
      <c r="FE64" s="299"/>
      <c r="FF64" s="299"/>
      <c r="FG64" s="299"/>
      <c r="FH64" s="666"/>
    </row>
    <row r="65" spans="2:164" ht="15" thickTop="1" thickBot="1">
      <c r="B65" s="706" t="s">
        <v>1385</v>
      </c>
      <c r="C65" s="707"/>
      <c r="D65" s="707"/>
      <c r="E65" s="707"/>
      <c r="F65" s="650"/>
      <c r="G65" s="650" t="s">
        <v>861</v>
      </c>
      <c r="H65" s="651" t="s">
        <v>1383</v>
      </c>
      <c r="I65" s="652" t="s">
        <v>1383</v>
      </c>
      <c r="J65" s="653"/>
      <c r="K65" s="654"/>
      <c r="L65" s="655"/>
      <c r="M65" s="655"/>
      <c r="N65" s="655"/>
      <c r="O65" s="656"/>
      <c r="P65" s="655"/>
      <c r="Q65" s="655"/>
      <c r="R65" s="655"/>
      <c r="S65" s="657"/>
      <c r="T65" s="656"/>
      <c r="U65" s="655"/>
      <c r="V65" s="655"/>
      <c r="W65" s="655"/>
      <c r="X65" s="657"/>
      <c r="Y65" s="656"/>
      <c r="Z65" s="655"/>
      <c r="AA65" s="655"/>
      <c r="AB65" s="655"/>
      <c r="AC65" s="657"/>
      <c r="AD65" s="656"/>
      <c r="AE65" s="655"/>
      <c r="AF65" s="655"/>
      <c r="AG65" s="655"/>
      <c r="AH65" s="657"/>
      <c r="AI65" s="656"/>
      <c r="AJ65" s="655"/>
      <c r="AK65" s="655"/>
      <c r="AL65" s="655"/>
      <c r="AM65" s="657"/>
      <c r="AN65" s="656"/>
      <c r="AO65" s="655"/>
      <c r="AP65" s="655"/>
      <c r="AQ65" s="655"/>
      <c r="AR65" s="657"/>
      <c r="AS65" s="656"/>
      <c r="AT65" s="655"/>
      <c r="AU65" s="655"/>
      <c r="AV65" s="655"/>
      <c r="AW65" s="657"/>
      <c r="AX65" s="656"/>
      <c r="AY65" s="655"/>
      <c r="AZ65" s="655"/>
      <c r="BA65" s="655"/>
      <c r="BB65" s="657"/>
      <c r="BC65" s="656"/>
      <c r="BD65" s="655"/>
      <c r="BE65" s="655"/>
      <c r="BF65" s="655"/>
      <c r="BG65" s="657"/>
      <c r="BH65" s="656"/>
      <c r="BI65" s="655"/>
      <c r="BJ65" s="655"/>
      <c r="BK65" s="655"/>
      <c r="BL65" s="657"/>
      <c r="BM65" s="656"/>
      <c r="BN65" s="655"/>
      <c r="BO65" s="655"/>
      <c r="BP65" s="655"/>
      <c r="BQ65" s="657"/>
      <c r="BR65" s="656"/>
      <c r="BS65" s="655"/>
      <c r="BT65" s="655"/>
      <c r="BU65" s="655"/>
      <c r="BV65" s="657"/>
      <c r="BW65" s="656"/>
      <c r="BX65" s="655"/>
      <c r="BY65" s="655"/>
      <c r="BZ65" s="655"/>
      <c r="CA65" s="657"/>
      <c r="CB65" s="656"/>
      <c r="CC65" s="655"/>
      <c r="CD65" s="655"/>
      <c r="CE65" s="655"/>
      <c r="CF65" s="657"/>
      <c r="CG65" s="656"/>
      <c r="CH65" s="655"/>
      <c r="CI65" s="655"/>
      <c r="CJ65" s="655"/>
      <c r="CK65" s="657"/>
      <c r="CL65" s="656"/>
      <c r="CM65" s="655"/>
      <c r="CN65" s="655"/>
      <c r="CO65" s="655"/>
      <c r="CP65" s="657"/>
      <c r="CQ65" s="656"/>
      <c r="CR65" s="655"/>
      <c r="CS65" s="655"/>
      <c r="CT65" s="655"/>
      <c r="CU65" s="657"/>
      <c r="CV65" s="656"/>
      <c r="CW65" s="655"/>
      <c r="CX65" s="655"/>
      <c r="CY65" s="655"/>
      <c r="CZ65" s="657"/>
      <c r="DA65" s="656"/>
      <c r="DB65" s="655"/>
      <c r="DC65" s="655"/>
      <c r="DD65" s="655"/>
      <c r="DE65" s="657"/>
      <c r="DF65" s="656"/>
      <c r="DG65" s="655"/>
      <c r="DH65" s="655"/>
      <c r="DI65" s="655"/>
      <c r="DJ65" s="657"/>
      <c r="DK65" s="656"/>
      <c r="DL65" s="655"/>
      <c r="DM65" s="655"/>
      <c r="DN65" s="655"/>
      <c r="DO65" s="657"/>
      <c r="DP65" s="656"/>
      <c r="DQ65" s="655"/>
      <c r="DR65" s="655"/>
      <c r="DS65" s="655"/>
      <c r="DT65" s="657"/>
      <c r="DU65" s="656"/>
      <c r="DV65" s="655"/>
      <c r="DW65" s="655"/>
      <c r="DX65" s="655"/>
      <c r="DY65" s="657"/>
      <c r="DZ65" s="656"/>
      <c r="EA65" s="655"/>
      <c r="EB65" s="655"/>
      <c r="EC65" s="655"/>
      <c r="ED65" s="657"/>
      <c r="EE65" s="656"/>
      <c r="EF65" s="655"/>
      <c r="EG65" s="655"/>
      <c r="EH65" s="655"/>
      <c r="EI65" s="657"/>
      <c r="EJ65" s="656"/>
      <c r="EK65" s="655"/>
      <c r="EL65" s="655"/>
      <c r="EM65" s="655"/>
      <c r="EN65" s="657"/>
      <c r="EO65" s="656"/>
      <c r="EP65" s="655"/>
      <c r="EQ65" s="655"/>
      <c r="ER65" s="655"/>
      <c r="ES65" s="657"/>
      <c r="ET65" s="656"/>
      <c r="EU65" s="655"/>
      <c r="EV65" s="655"/>
      <c r="EW65" s="655"/>
      <c r="EX65" s="657"/>
      <c r="EY65" s="656"/>
      <c r="EZ65" s="655"/>
      <c r="FA65" s="655"/>
      <c r="FB65" s="655"/>
      <c r="FC65" s="657"/>
      <c r="FD65" s="656"/>
      <c r="FE65" s="655"/>
      <c r="FF65" s="655"/>
      <c r="FG65" s="655"/>
      <c r="FH65" s="657"/>
    </row>
    <row r="66" spans="2:164" ht="14.25" hidden="1" thickTop="1">
      <c r="B66" s="708" t="s">
        <v>1386</v>
      </c>
      <c r="C66" s="708"/>
      <c r="D66" s="708"/>
      <c r="E66" s="709"/>
      <c r="F66" s="682"/>
      <c r="G66" s="682">
        <f>'[1]基本 (1)'!D137</f>
        <v>0</v>
      </c>
      <c r="H66" s="661" t="s">
        <v>1387</v>
      </c>
      <c r="I66" s="662" t="s">
        <v>1387</v>
      </c>
      <c r="J66" s="663"/>
      <c r="K66" s="710"/>
      <c r="L66" s="711"/>
      <c r="M66" s="711"/>
      <c r="N66" s="711"/>
      <c r="O66" s="712"/>
      <c r="P66" s="711"/>
      <c r="Q66" s="711"/>
      <c r="R66" s="711"/>
      <c r="S66" s="713"/>
      <c r="T66" s="712"/>
      <c r="U66" s="711"/>
      <c r="V66" s="711"/>
      <c r="W66" s="711"/>
      <c r="X66" s="713"/>
      <c r="Y66" s="712"/>
      <c r="Z66" s="711"/>
      <c r="AA66" s="711"/>
      <c r="AB66" s="711"/>
      <c r="AC66" s="713"/>
      <c r="AD66" s="712"/>
      <c r="AE66" s="711"/>
      <c r="AF66" s="711"/>
      <c r="AG66" s="711"/>
      <c r="AH66" s="713"/>
      <c r="AI66" s="712"/>
      <c r="AJ66" s="711"/>
      <c r="AK66" s="711"/>
      <c r="AL66" s="711"/>
      <c r="AM66" s="713"/>
      <c r="AN66" s="712"/>
      <c r="AO66" s="711"/>
      <c r="AP66" s="711"/>
      <c r="AQ66" s="711"/>
      <c r="AR66" s="713"/>
      <c r="AS66" s="712"/>
      <c r="AT66" s="711"/>
      <c r="AU66" s="711"/>
      <c r="AV66" s="711"/>
      <c r="AW66" s="713"/>
      <c r="AX66" s="712"/>
      <c r="AY66" s="711"/>
      <c r="AZ66" s="711"/>
      <c r="BA66" s="711"/>
      <c r="BB66" s="713"/>
      <c r="BC66" s="712"/>
      <c r="BD66" s="711"/>
      <c r="BE66" s="711"/>
      <c r="BF66" s="711"/>
      <c r="BG66" s="713"/>
      <c r="BH66" s="712"/>
      <c r="BI66" s="711"/>
      <c r="BJ66" s="711"/>
      <c r="BK66" s="711"/>
      <c r="BL66" s="713"/>
      <c r="BM66" s="712"/>
      <c r="BN66" s="711"/>
      <c r="BO66" s="711"/>
      <c r="BP66" s="711"/>
      <c r="BQ66" s="713"/>
      <c r="BR66" s="712"/>
      <c r="BS66" s="711"/>
      <c r="BT66" s="711"/>
      <c r="BU66" s="711"/>
      <c r="BV66" s="713"/>
      <c r="BW66" s="712"/>
      <c r="BX66" s="711"/>
      <c r="BY66" s="711"/>
      <c r="BZ66" s="711"/>
      <c r="CA66" s="713"/>
      <c r="CB66" s="712"/>
      <c r="CC66" s="711"/>
      <c r="CD66" s="711"/>
      <c r="CE66" s="711"/>
      <c r="CF66" s="713"/>
      <c r="CG66" s="712"/>
      <c r="CH66" s="711"/>
      <c r="CI66" s="711"/>
      <c r="CJ66" s="711"/>
      <c r="CK66" s="713"/>
      <c r="CL66" s="712"/>
      <c r="CM66" s="711"/>
      <c r="CN66" s="711"/>
      <c r="CO66" s="711"/>
      <c r="CP66" s="713"/>
      <c r="CQ66" s="712"/>
      <c r="CR66" s="711"/>
      <c r="CS66" s="711"/>
      <c r="CT66" s="711"/>
      <c r="CU66" s="713"/>
      <c r="CV66" s="712"/>
      <c r="CW66" s="711"/>
      <c r="CX66" s="711"/>
      <c r="CY66" s="711"/>
      <c r="CZ66" s="713"/>
      <c r="DA66" s="712"/>
      <c r="DB66" s="711"/>
      <c r="DC66" s="711"/>
      <c r="DD66" s="711"/>
      <c r="DE66" s="713"/>
      <c r="DF66" s="712"/>
      <c r="DG66" s="711"/>
      <c r="DH66" s="711"/>
      <c r="DI66" s="711"/>
      <c r="DJ66" s="713"/>
      <c r="DK66" s="712"/>
      <c r="DL66" s="711"/>
      <c r="DM66" s="711"/>
      <c r="DN66" s="711"/>
      <c r="DO66" s="713"/>
      <c r="DP66" s="712"/>
      <c r="DQ66" s="711"/>
      <c r="DR66" s="711"/>
      <c r="DS66" s="711"/>
      <c r="DT66" s="713"/>
      <c r="DU66" s="712"/>
      <c r="DV66" s="711"/>
      <c r="DW66" s="711"/>
      <c r="DX66" s="711"/>
      <c r="DY66" s="713"/>
      <c r="DZ66" s="712"/>
      <c r="EA66" s="711"/>
      <c r="EB66" s="711"/>
      <c r="EC66" s="711"/>
      <c r="ED66" s="713"/>
      <c r="EE66" s="712"/>
      <c r="EF66" s="711"/>
      <c r="EG66" s="711"/>
      <c r="EH66" s="711"/>
      <c r="EI66" s="713"/>
      <c r="EJ66" s="712"/>
      <c r="EK66" s="711"/>
      <c r="EL66" s="711"/>
      <c r="EM66" s="711"/>
      <c r="EN66" s="713"/>
      <c r="EO66" s="712"/>
      <c r="EP66" s="711"/>
      <c r="EQ66" s="711"/>
      <c r="ER66" s="711"/>
      <c r="ES66" s="713"/>
      <c r="ET66" s="712"/>
      <c r="EU66" s="711"/>
      <c r="EV66" s="711"/>
      <c r="EW66" s="711"/>
      <c r="EX66" s="713"/>
      <c r="EY66" s="712"/>
      <c r="EZ66" s="711"/>
      <c r="FA66" s="711"/>
      <c r="FB66" s="711"/>
      <c r="FC66" s="713"/>
      <c r="FD66" s="712"/>
      <c r="FE66" s="711"/>
      <c r="FF66" s="711"/>
      <c r="FG66" s="711"/>
      <c r="FH66" s="713"/>
    </row>
    <row r="67" spans="2:164" ht="14.25" hidden="1" thickTop="1">
      <c r="B67" s="714"/>
      <c r="C67" s="714"/>
      <c r="D67" s="714"/>
      <c r="E67" s="715"/>
      <c r="F67" s="672"/>
      <c r="G67" s="672"/>
      <c r="H67" s="673"/>
      <c r="I67" s="674"/>
      <c r="J67" s="663"/>
      <c r="K67" s="676"/>
      <c r="L67" s="677"/>
      <c r="M67" s="677"/>
      <c r="N67" s="677"/>
      <c r="O67" s="678"/>
      <c r="P67" s="677"/>
      <c r="Q67" s="677"/>
      <c r="R67" s="677"/>
      <c r="S67" s="679"/>
      <c r="T67" s="678"/>
      <c r="U67" s="677"/>
      <c r="V67" s="677"/>
      <c r="W67" s="677"/>
      <c r="X67" s="679"/>
      <c r="Y67" s="678"/>
      <c r="Z67" s="677"/>
      <c r="AA67" s="677"/>
      <c r="AB67" s="677"/>
      <c r="AC67" s="679"/>
      <c r="AD67" s="678"/>
      <c r="AE67" s="677"/>
      <c r="AF67" s="677"/>
      <c r="AG67" s="677"/>
      <c r="AH67" s="679"/>
      <c r="AI67" s="678"/>
      <c r="AJ67" s="677"/>
      <c r="AK67" s="677"/>
      <c r="AL67" s="677"/>
      <c r="AM67" s="679"/>
      <c r="AN67" s="678"/>
      <c r="AO67" s="677"/>
      <c r="AP67" s="677"/>
      <c r="AQ67" s="677"/>
      <c r="AR67" s="679"/>
      <c r="AS67" s="678"/>
      <c r="AT67" s="677"/>
      <c r="AU67" s="677"/>
      <c r="AV67" s="677"/>
      <c r="AW67" s="679"/>
      <c r="AX67" s="678"/>
      <c r="AY67" s="677"/>
      <c r="AZ67" s="677"/>
      <c r="BA67" s="677"/>
      <c r="BB67" s="679"/>
      <c r="BC67" s="678"/>
      <c r="BD67" s="677"/>
      <c r="BE67" s="677"/>
      <c r="BF67" s="677"/>
      <c r="BG67" s="679"/>
      <c r="BH67" s="678"/>
      <c r="BI67" s="677"/>
      <c r="BJ67" s="677"/>
      <c r="BK67" s="677"/>
      <c r="BL67" s="679"/>
      <c r="BM67" s="678"/>
      <c r="BN67" s="677"/>
      <c r="BO67" s="677"/>
      <c r="BP67" s="677"/>
      <c r="BQ67" s="679"/>
      <c r="BR67" s="678"/>
      <c r="BS67" s="677"/>
      <c r="BT67" s="677"/>
      <c r="BU67" s="677"/>
      <c r="BV67" s="679"/>
      <c r="BW67" s="678"/>
      <c r="BX67" s="677"/>
      <c r="BY67" s="677"/>
      <c r="BZ67" s="677"/>
      <c r="CA67" s="679"/>
      <c r="CB67" s="678"/>
      <c r="CC67" s="677"/>
      <c r="CD67" s="677"/>
      <c r="CE67" s="677"/>
      <c r="CF67" s="679"/>
      <c r="CG67" s="678"/>
      <c r="CH67" s="677"/>
      <c r="CI67" s="677"/>
      <c r="CJ67" s="677"/>
      <c r="CK67" s="679"/>
      <c r="CL67" s="678"/>
      <c r="CM67" s="677"/>
      <c r="CN67" s="677"/>
      <c r="CO67" s="677"/>
      <c r="CP67" s="679"/>
      <c r="CQ67" s="678"/>
      <c r="CR67" s="677"/>
      <c r="CS67" s="677"/>
      <c r="CT67" s="677"/>
      <c r="CU67" s="679"/>
      <c r="CV67" s="678"/>
      <c r="CW67" s="677"/>
      <c r="CX67" s="677"/>
      <c r="CY67" s="677"/>
      <c r="CZ67" s="679"/>
      <c r="DA67" s="678"/>
      <c r="DB67" s="677"/>
      <c r="DC67" s="677"/>
      <c r="DD67" s="677"/>
      <c r="DE67" s="679"/>
      <c r="DF67" s="678"/>
      <c r="DG67" s="677"/>
      <c r="DH67" s="677"/>
      <c r="DI67" s="677"/>
      <c r="DJ67" s="679"/>
      <c r="DK67" s="678"/>
      <c r="DL67" s="677"/>
      <c r="DM67" s="677"/>
      <c r="DN67" s="677"/>
      <c r="DO67" s="679"/>
      <c r="DP67" s="678"/>
      <c r="DQ67" s="677"/>
      <c r="DR67" s="677"/>
      <c r="DS67" s="677"/>
      <c r="DT67" s="679"/>
      <c r="DU67" s="678"/>
      <c r="DV67" s="677"/>
      <c r="DW67" s="677"/>
      <c r="DX67" s="677"/>
      <c r="DY67" s="679"/>
      <c r="DZ67" s="678"/>
      <c r="EA67" s="677"/>
      <c r="EB67" s="677"/>
      <c r="EC67" s="677"/>
      <c r="ED67" s="679"/>
      <c r="EE67" s="678"/>
      <c r="EF67" s="677"/>
      <c r="EG67" s="677"/>
      <c r="EH67" s="677"/>
      <c r="EI67" s="679"/>
      <c r="EJ67" s="678"/>
      <c r="EK67" s="677"/>
      <c r="EL67" s="677"/>
      <c r="EM67" s="677"/>
      <c r="EN67" s="679"/>
      <c r="EO67" s="678"/>
      <c r="EP67" s="677"/>
      <c r="EQ67" s="677"/>
      <c r="ER67" s="677"/>
      <c r="ES67" s="679"/>
      <c r="ET67" s="678"/>
      <c r="EU67" s="677"/>
      <c r="EV67" s="677"/>
      <c r="EW67" s="677"/>
      <c r="EX67" s="679"/>
      <c r="EY67" s="678"/>
      <c r="EZ67" s="677"/>
      <c r="FA67" s="677"/>
      <c r="FB67" s="677"/>
      <c r="FC67" s="679"/>
      <c r="FD67" s="678"/>
      <c r="FE67" s="677"/>
      <c r="FF67" s="677"/>
      <c r="FG67" s="677"/>
      <c r="FH67" s="679"/>
    </row>
    <row r="68" spans="2:164" ht="15" thickTop="1" thickBot="1">
      <c r="B68" s="708" t="s">
        <v>1388</v>
      </c>
      <c r="C68" s="708"/>
      <c r="D68" s="708"/>
      <c r="E68" s="709"/>
      <c r="F68" s="682"/>
      <c r="G68" s="682">
        <f>'[1]基本 (1)'!D147</f>
        <v>180</v>
      </c>
      <c r="H68" s="661" t="s">
        <v>1387</v>
      </c>
      <c r="I68" s="662" t="s">
        <v>1387</v>
      </c>
      <c r="J68" s="686"/>
      <c r="K68" s="664"/>
      <c r="L68" s="299"/>
      <c r="M68" s="299"/>
      <c r="N68" s="299"/>
      <c r="O68" s="665"/>
      <c r="P68" s="299"/>
      <c r="Q68" s="299"/>
      <c r="R68" s="299"/>
      <c r="S68" s="666"/>
      <c r="T68" s="665"/>
      <c r="U68" s="299"/>
      <c r="V68" s="299"/>
      <c r="W68" s="299"/>
      <c r="X68" s="666"/>
      <c r="Y68" s="665"/>
      <c r="Z68" s="299"/>
      <c r="AA68" s="299"/>
      <c r="AB68" s="299"/>
      <c r="AC68" s="666"/>
      <c r="AD68" s="665"/>
      <c r="AE68" s="299"/>
      <c r="AF68" s="299"/>
      <c r="AG68" s="299"/>
      <c r="AH68" s="666"/>
      <c r="AI68" s="665"/>
      <c r="AJ68" s="299"/>
      <c r="AK68" s="299"/>
      <c r="AL68" s="299"/>
      <c r="AM68" s="666"/>
      <c r="AN68" s="665"/>
      <c r="AO68" s="299"/>
      <c r="AP68" s="299"/>
      <c r="AQ68" s="299"/>
      <c r="AR68" s="666"/>
      <c r="AS68" s="665"/>
      <c r="AT68" s="299"/>
      <c r="AU68" s="299"/>
      <c r="AV68" s="299"/>
      <c r="AW68" s="666"/>
      <c r="AX68" s="665"/>
      <c r="AY68" s="691"/>
      <c r="AZ68" s="691"/>
      <c r="BA68" s="691"/>
      <c r="BB68" s="692"/>
      <c r="BC68" s="693"/>
      <c r="BD68" s="691"/>
      <c r="BE68" s="691"/>
      <c r="BF68" s="691"/>
      <c r="BG68" s="692"/>
      <c r="BH68" s="693"/>
      <c r="BI68" s="691"/>
      <c r="BJ68" s="691"/>
      <c r="BK68" s="691"/>
      <c r="BL68" s="692"/>
      <c r="BM68" s="693"/>
      <c r="BN68" s="691"/>
      <c r="BO68" s="691"/>
      <c r="BP68" s="691"/>
      <c r="BQ68" s="692"/>
      <c r="BR68" s="693"/>
      <c r="BS68" s="691"/>
      <c r="BT68" s="691"/>
      <c r="BU68" s="691"/>
      <c r="BV68" s="692"/>
      <c r="BW68" s="693"/>
      <c r="BX68" s="691"/>
      <c r="BY68" s="691"/>
      <c r="BZ68" s="691"/>
      <c r="CA68" s="692"/>
      <c r="CB68" s="693"/>
      <c r="CC68" s="691"/>
      <c r="CD68" s="691"/>
      <c r="CE68" s="691"/>
      <c r="CF68" s="692"/>
      <c r="CG68" s="693"/>
      <c r="CH68" s="691"/>
      <c r="CI68" s="691"/>
      <c r="CJ68" s="691"/>
      <c r="CK68" s="692"/>
      <c r="CL68" s="693"/>
      <c r="CM68" s="691"/>
      <c r="CN68" s="691"/>
      <c r="CO68" s="691"/>
      <c r="CP68" s="692"/>
      <c r="CQ68" s="693"/>
      <c r="CR68" s="691"/>
      <c r="CS68" s="691"/>
      <c r="CT68" s="691"/>
      <c r="CU68" s="692"/>
      <c r="CV68" s="693"/>
      <c r="CW68" s="691"/>
      <c r="CX68" s="691"/>
      <c r="CY68" s="691"/>
      <c r="CZ68" s="692"/>
      <c r="DA68" s="693"/>
      <c r="DB68" s="691"/>
      <c r="DC68" s="691"/>
      <c r="DD68" s="691"/>
      <c r="DE68" s="692"/>
      <c r="DF68" s="693"/>
      <c r="DG68" s="691"/>
      <c r="DH68" s="691"/>
      <c r="DI68" s="691"/>
      <c r="DJ68" s="692"/>
      <c r="DK68" s="693"/>
      <c r="DL68" s="691"/>
      <c r="DM68" s="691"/>
      <c r="DN68" s="691"/>
      <c r="DO68" s="692"/>
      <c r="DP68" s="693"/>
      <c r="DQ68" s="691"/>
      <c r="DR68" s="691"/>
      <c r="DS68" s="691"/>
      <c r="DT68" s="692"/>
      <c r="DU68" s="693"/>
      <c r="DV68" s="691"/>
      <c r="DW68" s="691"/>
      <c r="DX68" s="691"/>
      <c r="DY68" s="692"/>
      <c r="DZ68" s="693"/>
      <c r="EA68" s="691"/>
      <c r="EB68" s="691"/>
      <c r="EC68" s="691"/>
      <c r="ED68" s="692"/>
      <c r="EE68" s="693"/>
      <c r="EF68" s="691"/>
      <c r="EG68" s="691"/>
      <c r="EH68" s="691"/>
      <c r="EI68" s="692"/>
      <c r="EJ68" s="665"/>
      <c r="EK68" s="299"/>
      <c r="EL68" s="299"/>
      <c r="EM68" s="299"/>
      <c r="EN68" s="666"/>
      <c r="EO68" s="665"/>
      <c r="EP68" s="299"/>
      <c r="EQ68" s="299"/>
      <c r="ER68" s="299"/>
      <c r="ES68" s="666"/>
      <c r="ET68" s="665"/>
      <c r="EU68" s="299"/>
      <c r="EV68" s="299"/>
      <c r="EW68" s="299"/>
      <c r="EX68" s="666"/>
      <c r="EY68" s="665"/>
      <c r="EZ68" s="299"/>
      <c r="FA68" s="299"/>
      <c r="FB68" s="299"/>
      <c r="FC68" s="666"/>
      <c r="FD68" s="665"/>
      <c r="FE68" s="299"/>
      <c r="FF68" s="299"/>
      <c r="FG68" s="299"/>
      <c r="FH68" s="666"/>
    </row>
    <row r="69" spans="2:164">
      <c r="B69" s="714"/>
      <c r="C69" s="714"/>
      <c r="D69" s="714"/>
      <c r="E69" s="715"/>
      <c r="F69" s="672"/>
      <c r="G69" s="672"/>
      <c r="H69" s="673"/>
      <c r="I69" s="674"/>
      <c r="J69" s="675"/>
      <c r="K69" s="676"/>
      <c r="L69" s="677"/>
      <c r="M69" s="677"/>
      <c r="N69" s="677"/>
      <c r="O69" s="678"/>
      <c r="P69" s="677"/>
      <c r="Q69" s="677"/>
      <c r="R69" s="677"/>
      <c r="S69" s="679"/>
      <c r="T69" s="678"/>
      <c r="U69" s="677"/>
      <c r="V69" s="677"/>
      <c r="W69" s="677"/>
      <c r="X69" s="679"/>
      <c r="Y69" s="678"/>
      <c r="Z69" s="677"/>
      <c r="AA69" s="677"/>
      <c r="AB69" s="677"/>
      <c r="AC69" s="679"/>
      <c r="AD69" s="678"/>
      <c r="AE69" s="677"/>
      <c r="AF69" s="677"/>
      <c r="AG69" s="677"/>
      <c r="AH69" s="679"/>
      <c r="AI69" s="678"/>
      <c r="AJ69" s="677"/>
      <c r="AK69" s="677"/>
      <c r="AL69" s="677"/>
      <c r="AM69" s="679"/>
      <c r="AN69" s="678"/>
      <c r="AO69" s="677"/>
      <c r="AP69" s="677"/>
      <c r="AQ69" s="677"/>
      <c r="AR69" s="679"/>
      <c r="AS69" s="678"/>
      <c r="AT69" s="677"/>
      <c r="AU69" s="677"/>
      <c r="AV69" s="677"/>
      <c r="AW69" s="679"/>
      <c r="AX69" s="678"/>
      <c r="AY69" s="677"/>
      <c r="AZ69" s="677"/>
      <c r="BA69" s="677"/>
      <c r="BB69" s="679"/>
      <c r="BC69" s="678"/>
      <c r="BD69" s="677"/>
      <c r="BE69" s="677"/>
      <c r="BF69" s="677"/>
      <c r="BG69" s="679"/>
      <c r="BH69" s="678"/>
      <c r="BI69" s="677"/>
      <c r="BJ69" s="677"/>
      <c r="BK69" s="677"/>
      <c r="BL69" s="679"/>
      <c r="BM69" s="678"/>
      <c r="BN69" s="677"/>
      <c r="BO69" s="677"/>
      <c r="BP69" s="677"/>
      <c r="BQ69" s="679"/>
      <c r="BR69" s="678"/>
      <c r="BS69" s="677"/>
      <c r="BT69" s="677"/>
      <c r="BU69" s="677"/>
      <c r="BV69" s="679"/>
      <c r="BW69" s="678"/>
      <c r="BX69" s="677"/>
      <c r="BY69" s="677"/>
      <c r="BZ69" s="677"/>
      <c r="CA69" s="679"/>
      <c r="CB69" s="678"/>
      <c r="CC69" s="677"/>
      <c r="CD69" s="677"/>
      <c r="CE69" s="677"/>
      <c r="CF69" s="679"/>
      <c r="CG69" s="678"/>
      <c r="CH69" s="677"/>
      <c r="CI69" s="677"/>
      <c r="CJ69" s="677"/>
      <c r="CK69" s="679"/>
      <c r="CL69" s="678"/>
      <c r="CM69" s="677"/>
      <c r="CN69" s="677"/>
      <c r="CO69" s="677"/>
      <c r="CP69" s="679"/>
      <c r="CQ69" s="678"/>
      <c r="CR69" s="677"/>
      <c r="CS69" s="677"/>
      <c r="CT69" s="677"/>
      <c r="CU69" s="679"/>
      <c r="CV69" s="678"/>
      <c r="CW69" s="677"/>
      <c r="CX69" s="677"/>
      <c r="CY69" s="677"/>
      <c r="CZ69" s="679"/>
      <c r="DA69" s="678"/>
      <c r="DB69" s="677"/>
      <c r="DC69" s="677"/>
      <c r="DD69" s="677"/>
      <c r="DE69" s="679"/>
      <c r="DF69" s="678"/>
      <c r="DG69" s="677"/>
      <c r="DH69" s="677"/>
      <c r="DI69" s="677"/>
      <c r="DJ69" s="679"/>
      <c r="DK69" s="678"/>
      <c r="DL69" s="677"/>
      <c r="DM69" s="677"/>
      <c r="DN69" s="677"/>
      <c r="DO69" s="679"/>
      <c r="DP69" s="678"/>
      <c r="DQ69" s="677"/>
      <c r="DR69" s="677"/>
      <c r="DS69" s="677"/>
      <c r="DT69" s="679"/>
      <c r="DU69" s="678"/>
      <c r="DV69" s="677"/>
      <c r="DW69" s="677"/>
      <c r="DX69" s="677"/>
      <c r="DY69" s="679"/>
      <c r="DZ69" s="678"/>
      <c r="EA69" s="677"/>
      <c r="EB69" s="677"/>
      <c r="EC69" s="677"/>
      <c r="ED69" s="679"/>
      <c r="EE69" s="678"/>
      <c r="EF69" s="677"/>
      <c r="EG69" s="677"/>
      <c r="EH69" s="677"/>
      <c r="EI69" s="679"/>
      <c r="EJ69" s="678"/>
      <c r="EK69" s="677"/>
      <c r="EL69" s="677"/>
      <c r="EM69" s="677"/>
      <c r="EN69" s="679"/>
      <c r="EO69" s="678"/>
      <c r="EP69" s="677"/>
      <c r="EQ69" s="677"/>
      <c r="ER69" s="677"/>
      <c r="ES69" s="679"/>
      <c r="ET69" s="678"/>
      <c r="EU69" s="677"/>
      <c r="EV69" s="677"/>
      <c r="EW69" s="677"/>
      <c r="EX69" s="679"/>
      <c r="EY69" s="678"/>
      <c r="EZ69" s="677"/>
      <c r="FA69" s="677"/>
      <c r="FB69" s="677"/>
      <c r="FC69" s="679"/>
      <c r="FD69" s="678"/>
      <c r="FE69" s="677"/>
      <c r="FF69" s="677"/>
      <c r="FG69" s="677"/>
      <c r="FH69" s="679"/>
    </row>
    <row r="70" spans="2:164" ht="14.25" thickBot="1">
      <c r="B70" s="708" t="s">
        <v>1389</v>
      </c>
      <c r="C70" s="708"/>
      <c r="D70" s="708"/>
      <c r="E70" s="709"/>
      <c r="F70" s="682"/>
      <c r="G70" s="682">
        <f>'[1]基本 (1)'!D157</f>
        <v>169</v>
      </c>
      <c r="H70" s="661" t="s">
        <v>1390</v>
      </c>
      <c r="I70" s="662" t="s">
        <v>1391</v>
      </c>
      <c r="J70" s="686"/>
      <c r="K70" s="664"/>
      <c r="L70" s="299"/>
      <c r="M70" s="299"/>
      <c r="N70" s="299"/>
      <c r="O70" s="665"/>
      <c r="P70" s="299"/>
      <c r="Q70" s="299"/>
      <c r="R70" s="299"/>
      <c r="S70" s="666"/>
      <c r="T70" s="665"/>
      <c r="U70" s="299"/>
      <c r="V70" s="299"/>
      <c r="W70" s="299"/>
      <c r="X70" s="666"/>
      <c r="Y70" s="665"/>
      <c r="Z70" s="299"/>
      <c r="AA70" s="299"/>
      <c r="AB70" s="299"/>
      <c r="AC70" s="666"/>
      <c r="AD70" s="665"/>
      <c r="AE70" s="299"/>
      <c r="AF70" s="299"/>
      <c r="AG70" s="299"/>
      <c r="AH70" s="666"/>
      <c r="AI70" s="665"/>
      <c r="AJ70" s="299"/>
      <c r="AK70" s="299"/>
      <c r="AL70" s="299"/>
      <c r="AM70" s="666"/>
      <c r="AN70" s="665"/>
      <c r="AO70" s="299"/>
      <c r="AP70" s="299"/>
      <c r="AQ70" s="299"/>
      <c r="AR70" s="666"/>
      <c r="AS70" s="665"/>
      <c r="AT70" s="299"/>
      <c r="AU70" s="299"/>
      <c r="AV70" s="299"/>
      <c r="AW70" s="666"/>
      <c r="AX70" s="665"/>
      <c r="AY70" s="299"/>
      <c r="AZ70" s="299"/>
      <c r="BA70" s="299"/>
      <c r="BB70" s="692"/>
      <c r="BC70" s="693"/>
      <c r="BD70" s="691"/>
      <c r="BE70" s="691"/>
      <c r="BF70" s="691"/>
      <c r="BG70" s="692"/>
      <c r="BH70" s="693"/>
      <c r="BI70" s="691"/>
      <c r="BJ70" s="691"/>
      <c r="BK70" s="691"/>
      <c r="BL70" s="692"/>
      <c r="BM70" s="693"/>
      <c r="BN70" s="691"/>
      <c r="BO70" s="691"/>
      <c r="BP70" s="691"/>
      <c r="BQ70" s="692"/>
      <c r="BR70" s="693"/>
      <c r="BS70" s="691"/>
      <c r="BT70" s="691"/>
      <c r="BU70" s="691"/>
      <c r="BV70" s="692"/>
      <c r="BW70" s="693"/>
      <c r="BX70" s="691"/>
      <c r="BY70" s="691"/>
      <c r="BZ70" s="691"/>
      <c r="CA70" s="692"/>
      <c r="CB70" s="693"/>
      <c r="CC70" s="691"/>
      <c r="CD70" s="691"/>
      <c r="CE70" s="691"/>
      <c r="CF70" s="692"/>
      <c r="CG70" s="693"/>
      <c r="CH70" s="691"/>
      <c r="CI70" s="691"/>
      <c r="CJ70" s="691"/>
      <c r="CK70" s="692"/>
      <c r="CL70" s="693"/>
      <c r="CM70" s="691"/>
      <c r="CN70" s="691"/>
      <c r="CO70" s="691"/>
      <c r="CP70" s="692"/>
      <c r="CQ70" s="693"/>
      <c r="CR70" s="691"/>
      <c r="CS70" s="691"/>
      <c r="CT70" s="691"/>
      <c r="CU70" s="692"/>
      <c r="CV70" s="693"/>
      <c r="CW70" s="691"/>
      <c r="CX70" s="691"/>
      <c r="CY70" s="691"/>
      <c r="CZ70" s="692"/>
      <c r="DA70" s="693"/>
      <c r="DB70" s="691"/>
      <c r="DC70" s="691"/>
      <c r="DD70" s="691"/>
      <c r="DE70" s="692"/>
      <c r="DF70" s="693"/>
      <c r="DG70" s="691"/>
      <c r="DH70" s="691"/>
      <c r="DI70" s="691"/>
      <c r="DJ70" s="692"/>
      <c r="DK70" s="693"/>
      <c r="DL70" s="691"/>
      <c r="DM70" s="691"/>
      <c r="DN70" s="691"/>
      <c r="DO70" s="692"/>
      <c r="DP70" s="693"/>
      <c r="DQ70" s="691"/>
      <c r="DR70" s="691"/>
      <c r="DS70" s="691"/>
      <c r="DT70" s="692"/>
      <c r="DU70" s="693"/>
      <c r="DV70" s="691"/>
      <c r="DW70" s="691"/>
      <c r="DX70" s="691"/>
      <c r="DY70" s="692"/>
      <c r="DZ70" s="693"/>
      <c r="EA70" s="691"/>
      <c r="EB70" s="691"/>
      <c r="EC70" s="691"/>
      <c r="ED70" s="692"/>
      <c r="EE70" s="693"/>
      <c r="EF70" s="691"/>
      <c r="EG70" s="691"/>
      <c r="EH70" s="299"/>
      <c r="EI70" s="666"/>
      <c r="EJ70" s="665"/>
      <c r="EK70" s="299"/>
      <c r="EL70" s="299"/>
      <c r="EM70" s="299"/>
      <c r="EN70" s="666"/>
      <c r="EO70" s="665"/>
      <c r="EP70" s="299"/>
      <c r="EQ70" s="299"/>
      <c r="ER70" s="299"/>
      <c r="ES70" s="666"/>
      <c r="ET70" s="665"/>
      <c r="EU70" s="299"/>
      <c r="EV70" s="299"/>
      <c r="EW70" s="299"/>
      <c r="EX70" s="666"/>
      <c r="EY70" s="665"/>
      <c r="EZ70" s="299"/>
      <c r="FA70" s="299"/>
      <c r="FB70" s="299"/>
      <c r="FC70" s="666"/>
      <c r="FD70" s="665"/>
      <c r="FE70" s="299"/>
      <c r="FF70" s="299"/>
      <c r="FG70" s="299"/>
      <c r="FH70" s="666"/>
    </row>
    <row r="71" spans="2:164">
      <c r="B71" s="714"/>
      <c r="C71" s="714"/>
      <c r="D71" s="714"/>
      <c r="E71" s="715"/>
      <c r="F71" s="672"/>
      <c r="G71" s="672"/>
      <c r="H71" s="673"/>
      <c r="I71" s="674"/>
      <c r="J71" s="675"/>
      <c r="K71" s="676"/>
      <c r="L71" s="677"/>
      <c r="M71" s="677"/>
      <c r="N71" s="677"/>
      <c r="O71" s="678"/>
      <c r="P71" s="677"/>
      <c r="Q71" s="677"/>
      <c r="R71" s="677"/>
      <c r="S71" s="679"/>
      <c r="T71" s="678"/>
      <c r="U71" s="677"/>
      <c r="V71" s="677"/>
      <c r="W71" s="677"/>
      <c r="X71" s="679"/>
      <c r="Y71" s="678"/>
      <c r="Z71" s="677"/>
      <c r="AA71" s="677"/>
      <c r="AB71" s="677"/>
      <c r="AC71" s="679"/>
      <c r="AD71" s="678"/>
      <c r="AE71" s="677"/>
      <c r="AF71" s="677"/>
      <c r="AG71" s="677"/>
      <c r="AH71" s="679"/>
      <c r="AI71" s="678"/>
      <c r="AJ71" s="677"/>
      <c r="AK71" s="677"/>
      <c r="AL71" s="677"/>
      <c r="AM71" s="679"/>
      <c r="AN71" s="678"/>
      <c r="AO71" s="677"/>
      <c r="AP71" s="677"/>
      <c r="AQ71" s="677"/>
      <c r="AR71" s="679"/>
      <c r="AS71" s="678"/>
      <c r="AT71" s="677"/>
      <c r="AU71" s="677"/>
      <c r="AV71" s="677"/>
      <c r="AW71" s="679"/>
      <c r="AX71" s="678"/>
      <c r="AY71" s="677"/>
      <c r="AZ71" s="677"/>
      <c r="BA71" s="677"/>
      <c r="BB71" s="679"/>
      <c r="BC71" s="678"/>
      <c r="BD71" s="677"/>
      <c r="BE71" s="677"/>
      <c r="BF71" s="677"/>
      <c r="BG71" s="679"/>
      <c r="BH71" s="678"/>
      <c r="BI71" s="677"/>
      <c r="BJ71" s="677"/>
      <c r="BK71" s="677"/>
      <c r="BL71" s="679"/>
      <c r="BM71" s="678"/>
      <c r="BN71" s="677"/>
      <c r="BO71" s="677"/>
      <c r="BP71" s="677"/>
      <c r="BQ71" s="679"/>
      <c r="BR71" s="678"/>
      <c r="BS71" s="677"/>
      <c r="BT71" s="677"/>
      <c r="BU71" s="677"/>
      <c r="BV71" s="679"/>
      <c r="BW71" s="678"/>
      <c r="BX71" s="677"/>
      <c r="BY71" s="677"/>
      <c r="BZ71" s="677"/>
      <c r="CA71" s="679"/>
      <c r="CB71" s="678"/>
      <c r="CC71" s="677"/>
      <c r="CD71" s="677"/>
      <c r="CE71" s="677"/>
      <c r="CF71" s="679"/>
      <c r="CG71" s="678"/>
      <c r="CH71" s="677"/>
      <c r="CI71" s="677"/>
      <c r="CJ71" s="677"/>
      <c r="CK71" s="679"/>
      <c r="CL71" s="678"/>
      <c r="CM71" s="677"/>
      <c r="CN71" s="677"/>
      <c r="CO71" s="677"/>
      <c r="CP71" s="679"/>
      <c r="CQ71" s="678"/>
      <c r="CR71" s="677"/>
      <c r="CS71" s="677"/>
      <c r="CT71" s="677"/>
      <c r="CU71" s="679"/>
      <c r="CV71" s="678"/>
      <c r="CW71" s="677"/>
      <c r="CX71" s="677"/>
      <c r="CY71" s="677"/>
      <c r="CZ71" s="679"/>
      <c r="DA71" s="678"/>
      <c r="DB71" s="677"/>
      <c r="DC71" s="677"/>
      <c r="DD71" s="677"/>
      <c r="DE71" s="679"/>
      <c r="DF71" s="678"/>
      <c r="DG71" s="677"/>
      <c r="DH71" s="677"/>
      <c r="DI71" s="677"/>
      <c r="DJ71" s="679"/>
      <c r="DK71" s="678"/>
      <c r="DL71" s="677"/>
      <c r="DM71" s="677"/>
      <c r="DN71" s="677"/>
      <c r="DO71" s="679"/>
      <c r="DP71" s="678"/>
      <c r="DQ71" s="677"/>
      <c r="DR71" s="677"/>
      <c r="DS71" s="677"/>
      <c r="DT71" s="679"/>
      <c r="DU71" s="678"/>
      <c r="DV71" s="677"/>
      <c r="DW71" s="677"/>
      <c r="DX71" s="677"/>
      <c r="DY71" s="679"/>
      <c r="DZ71" s="678"/>
      <c r="EA71" s="677"/>
      <c r="EB71" s="677"/>
      <c r="EC71" s="677"/>
      <c r="ED71" s="679"/>
      <c r="EE71" s="678"/>
      <c r="EF71" s="677"/>
      <c r="EG71" s="677"/>
      <c r="EH71" s="677"/>
      <c r="EI71" s="679"/>
      <c r="EJ71" s="678"/>
      <c r="EK71" s="677"/>
      <c r="EL71" s="677"/>
      <c r="EM71" s="677"/>
      <c r="EN71" s="679"/>
      <c r="EO71" s="678"/>
      <c r="EP71" s="677"/>
      <c r="EQ71" s="677"/>
      <c r="ER71" s="677"/>
      <c r="ES71" s="679"/>
      <c r="ET71" s="678"/>
      <c r="EU71" s="677"/>
      <c r="EV71" s="677"/>
      <c r="EW71" s="677"/>
      <c r="EX71" s="679"/>
      <c r="EY71" s="678"/>
      <c r="EZ71" s="677"/>
      <c r="FA71" s="677"/>
      <c r="FB71" s="677"/>
      <c r="FC71" s="679"/>
      <c r="FD71" s="678"/>
      <c r="FE71" s="677"/>
      <c r="FF71" s="677"/>
      <c r="FG71" s="677"/>
      <c r="FH71" s="679"/>
    </row>
    <row r="72" spans="2:164" ht="14.25" thickBot="1">
      <c r="B72" s="708" t="s">
        <v>1392</v>
      </c>
      <c r="C72" s="708"/>
      <c r="D72" s="708"/>
      <c r="E72" s="709"/>
      <c r="F72" s="682"/>
      <c r="G72" s="682">
        <f>'[1]基本 (1)'!D169</f>
        <v>142</v>
      </c>
      <c r="H72" s="661" t="s">
        <v>1391</v>
      </c>
      <c r="I72" s="662" t="s">
        <v>1391</v>
      </c>
      <c r="J72" s="686"/>
      <c r="K72" s="664"/>
      <c r="L72" s="299"/>
      <c r="M72" s="299"/>
      <c r="N72" s="299"/>
      <c r="O72" s="665"/>
      <c r="P72" s="299"/>
      <c r="Q72" s="299"/>
      <c r="R72" s="299"/>
      <c r="S72" s="666"/>
      <c r="T72" s="665"/>
      <c r="U72" s="299"/>
      <c r="V72" s="299"/>
      <c r="W72" s="299"/>
      <c r="X72" s="666"/>
      <c r="Y72" s="665"/>
      <c r="Z72" s="299"/>
      <c r="AA72" s="299"/>
      <c r="AB72" s="299"/>
      <c r="AC72" s="666"/>
      <c r="AD72" s="665"/>
      <c r="AE72" s="299"/>
      <c r="AF72" s="299"/>
      <c r="AG72" s="299"/>
      <c r="AH72" s="666"/>
      <c r="AI72" s="665"/>
      <c r="AJ72" s="299"/>
      <c r="AK72" s="299"/>
      <c r="AL72" s="299"/>
      <c r="AM72" s="666"/>
      <c r="AN72" s="665"/>
      <c r="AO72" s="299"/>
      <c r="AP72" s="299"/>
      <c r="AQ72" s="299"/>
      <c r="AR72" s="666"/>
      <c r="AS72" s="665"/>
      <c r="AT72" s="299"/>
      <c r="AU72" s="299"/>
      <c r="AV72" s="299"/>
      <c r="AW72" s="666"/>
      <c r="AX72" s="665"/>
      <c r="AY72" s="299"/>
      <c r="AZ72" s="299"/>
      <c r="BA72" s="299"/>
      <c r="BB72" s="666"/>
      <c r="BC72" s="665"/>
      <c r="BD72" s="299"/>
      <c r="BE72" s="299"/>
      <c r="BF72" s="299"/>
      <c r="BG72" s="666"/>
      <c r="BH72" s="665"/>
      <c r="BI72" s="299"/>
      <c r="BJ72" s="299"/>
      <c r="BK72" s="299"/>
      <c r="BL72" s="666"/>
      <c r="BM72" s="665"/>
      <c r="BN72" s="299"/>
      <c r="BO72" s="299"/>
      <c r="BP72" s="299"/>
      <c r="BQ72" s="666"/>
      <c r="BR72" s="665"/>
      <c r="BS72" s="299"/>
      <c r="BT72" s="691"/>
      <c r="BU72" s="691"/>
      <c r="BV72" s="692"/>
      <c r="BW72" s="693"/>
      <c r="BX72" s="691"/>
      <c r="BY72" s="691"/>
      <c r="BZ72" s="691"/>
      <c r="CA72" s="692"/>
      <c r="CB72" s="693"/>
      <c r="CC72" s="691"/>
      <c r="CD72" s="691"/>
      <c r="CE72" s="691"/>
      <c r="CF72" s="692"/>
      <c r="CG72" s="693"/>
      <c r="CH72" s="691"/>
      <c r="CI72" s="691"/>
      <c r="CJ72" s="691"/>
      <c r="CK72" s="692"/>
      <c r="CL72" s="693"/>
      <c r="CM72" s="691"/>
      <c r="CN72" s="691"/>
      <c r="CO72" s="691"/>
      <c r="CP72" s="692"/>
      <c r="CQ72" s="693"/>
      <c r="CR72" s="691"/>
      <c r="CS72" s="691"/>
      <c r="CT72" s="691"/>
      <c r="CU72" s="692"/>
      <c r="CV72" s="693"/>
      <c r="CW72" s="691"/>
      <c r="CX72" s="691"/>
      <c r="CY72" s="691"/>
      <c r="CZ72" s="692"/>
      <c r="DA72" s="693"/>
      <c r="DB72" s="691"/>
      <c r="DC72" s="691"/>
      <c r="DD72" s="691"/>
      <c r="DE72" s="692"/>
      <c r="DF72" s="693"/>
      <c r="DG72" s="691"/>
      <c r="DH72" s="691"/>
      <c r="DI72" s="691"/>
      <c r="DJ72" s="692"/>
      <c r="DK72" s="693"/>
      <c r="DL72" s="691"/>
      <c r="DM72" s="691"/>
      <c r="DN72" s="691"/>
      <c r="DO72" s="692"/>
      <c r="DP72" s="693"/>
      <c r="DQ72" s="691"/>
      <c r="DR72" s="691"/>
      <c r="DS72" s="691"/>
      <c r="DT72" s="692"/>
      <c r="DU72" s="693"/>
      <c r="DV72" s="691"/>
      <c r="DW72" s="691"/>
      <c r="DX72" s="691"/>
      <c r="DY72" s="692"/>
      <c r="DZ72" s="665"/>
      <c r="EA72" s="299"/>
      <c r="EB72" s="299"/>
      <c r="EC72" s="299"/>
      <c r="ED72" s="666"/>
      <c r="EE72" s="665"/>
      <c r="EF72" s="299"/>
      <c r="EG72" s="299"/>
      <c r="EH72" s="299"/>
      <c r="EI72" s="666"/>
      <c r="EJ72" s="665"/>
      <c r="EK72" s="299"/>
      <c r="EL72" s="299"/>
      <c r="EM72" s="299"/>
      <c r="EN72" s="666"/>
      <c r="EO72" s="665"/>
      <c r="EP72" s="299"/>
      <c r="EQ72" s="299"/>
      <c r="ER72" s="299"/>
      <c r="ES72" s="666"/>
      <c r="ET72" s="665"/>
      <c r="EU72" s="299"/>
      <c r="EV72" s="299"/>
      <c r="EW72" s="299"/>
      <c r="EX72" s="666"/>
      <c r="EY72" s="665"/>
      <c r="EZ72" s="299"/>
      <c r="FA72" s="299"/>
      <c r="FB72" s="299"/>
      <c r="FC72" s="666"/>
      <c r="FD72" s="665"/>
      <c r="FE72" s="299"/>
      <c r="FF72" s="299"/>
      <c r="FG72" s="299"/>
      <c r="FH72" s="666"/>
    </row>
    <row r="73" spans="2:164">
      <c r="B73" s="714"/>
      <c r="C73" s="714"/>
      <c r="D73" s="714"/>
      <c r="E73" s="715"/>
      <c r="F73" s="672"/>
      <c r="G73" s="672"/>
      <c r="H73" s="673"/>
      <c r="I73" s="674"/>
      <c r="J73" s="675"/>
      <c r="K73" s="676"/>
      <c r="L73" s="677"/>
      <c r="M73" s="677"/>
      <c r="N73" s="677"/>
      <c r="O73" s="678"/>
      <c r="P73" s="677"/>
      <c r="Q73" s="677"/>
      <c r="R73" s="677"/>
      <c r="S73" s="679"/>
      <c r="T73" s="678"/>
      <c r="U73" s="677"/>
      <c r="V73" s="677"/>
      <c r="W73" s="677"/>
      <c r="X73" s="679"/>
      <c r="Y73" s="678"/>
      <c r="Z73" s="677"/>
      <c r="AA73" s="677"/>
      <c r="AB73" s="677"/>
      <c r="AC73" s="679"/>
      <c r="AD73" s="678"/>
      <c r="AE73" s="677"/>
      <c r="AF73" s="677"/>
      <c r="AG73" s="677"/>
      <c r="AH73" s="679"/>
      <c r="AI73" s="678"/>
      <c r="AJ73" s="677"/>
      <c r="AK73" s="677"/>
      <c r="AL73" s="677"/>
      <c r="AM73" s="679"/>
      <c r="AN73" s="678"/>
      <c r="AO73" s="677"/>
      <c r="AP73" s="677"/>
      <c r="AQ73" s="677"/>
      <c r="AR73" s="679"/>
      <c r="AS73" s="678"/>
      <c r="AT73" s="677"/>
      <c r="AU73" s="677"/>
      <c r="AV73" s="677"/>
      <c r="AW73" s="679"/>
      <c r="AX73" s="678"/>
      <c r="AY73" s="677"/>
      <c r="AZ73" s="677"/>
      <c r="BA73" s="677"/>
      <c r="BB73" s="679"/>
      <c r="BC73" s="678"/>
      <c r="BD73" s="677"/>
      <c r="BE73" s="677"/>
      <c r="BF73" s="677"/>
      <c r="BG73" s="679"/>
      <c r="BH73" s="678"/>
      <c r="BI73" s="677"/>
      <c r="BJ73" s="677"/>
      <c r="BK73" s="677"/>
      <c r="BL73" s="679"/>
      <c r="BM73" s="678"/>
      <c r="BN73" s="677"/>
      <c r="BO73" s="677"/>
      <c r="BP73" s="677"/>
      <c r="BQ73" s="679"/>
      <c r="BR73" s="678"/>
      <c r="BS73" s="677"/>
      <c r="BT73" s="677"/>
      <c r="BU73" s="677"/>
      <c r="BV73" s="679"/>
      <c r="BW73" s="678"/>
      <c r="BX73" s="677"/>
      <c r="BY73" s="677"/>
      <c r="BZ73" s="677"/>
      <c r="CA73" s="679"/>
      <c r="CB73" s="678"/>
      <c r="CC73" s="677"/>
      <c r="CD73" s="677"/>
      <c r="CE73" s="677"/>
      <c r="CF73" s="679"/>
      <c r="CG73" s="678"/>
      <c r="CH73" s="677"/>
      <c r="CI73" s="677"/>
      <c r="CJ73" s="677"/>
      <c r="CK73" s="679"/>
      <c r="CL73" s="678"/>
      <c r="CM73" s="677"/>
      <c r="CN73" s="677"/>
      <c r="CO73" s="677"/>
      <c r="CP73" s="679"/>
      <c r="CQ73" s="678"/>
      <c r="CR73" s="677"/>
      <c r="CS73" s="677"/>
      <c r="CT73" s="677"/>
      <c r="CU73" s="679"/>
      <c r="CV73" s="678"/>
      <c r="CW73" s="677"/>
      <c r="CX73" s="677"/>
      <c r="CY73" s="677"/>
      <c r="CZ73" s="679"/>
      <c r="DA73" s="678"/>
      <c r="DB73" s="677"/>
      <c r="DC73" s="677"/>
      <c r="DD73" s="677"/>
      <c r="DE73" s="679"/>
      <c r="DF73" s="678"/>
      <c r="DG73" s="677"/>
      <c r="DH73" s="677"/>
      <c r="DI73" s="677"/>
      <c r="DJ73" s="679"/>
      <c r="DK73" s="678"/>
      <c r="DL73" s="677"/>
      <c r="DM73" s="677"/>
      <c r="DN73" s="677"/>
      <c r="DO73" s="679"/>
      <c r="DP73" s="678"/>
      <c r="DQ73" s="677"/>
      <c r="DR73" s="677"/>
      <c r="DS73" s="677"/>
      <c r="DT73" s="679"/>
      <c r="DU73" s="678"/>
      <c r="DV73" s="677"/>
      <c r="DW73" s="677"/>
      <c r="DX73" s="677"/>
      <c r="DY73" s="679"/>
      <c r="DZ73" s="678"/>
      <c r="EA73" s="677"/>
      <c r="EB73" s="677"/>
      <c r="EC73" s="677"/>
      <c r="ED73" s="679"/>
      <c r="EE73" s="678"/>
      <c r="EF73" s="677"/>
      <c r="EG73" s="677"/>
      <c r="EH73" s="677"/>
      <c r="EI73" s="679"/>
      <c r="EJ73" s="678"/>
      <c r="EK73" s="677"/>
      <c r="EL73" s="677"/>
      <c r="EM73" s="677"/>
      <c r="EN73" s="679"/>
      <c r="EO73" s="678"/>
      <c r="EP73" s="677"/>
      <c r="EQ73" s="677"/>
      <c r="ER73" s="677"/>
      <c r="ES73" s="679"/>
      <c r="ET73" s="678"/>
      <c r="EU73" s="677"/>
      <c r="EV73" s="677"/>
      <c r="EW73" s="677"/>
      <c r="EX73" s="679"/>
      <c r="EY73" s="678"/>
      <c r="EZ73" s="677"/>
      <c r="FA73" s="677"/>
      <c r="FB73" s="677"/>
      <c r="FC73" s="679"/>
      <c r="FD73" s="678"/>
      <c r="FE73" s="677"/>
      <c r="FF73" s="677"/>
      <c r="FG73" s="677"/>
      <c r="FH73" s="679"/>
    </row>
    <row r="74" spans="2:164" ht="14.25" thickBot="1">
      <c r="B74" s="708" t="s">
        <v>866</v>
      </c>
      <c r="C74" s="708"/>
      <c r="D74" s="708"/>
      <c r="E74" s="709"/>
      <c r="F74" s="682"/>
      <c r="G74" s="682">
        <f>'[1]基本 (1)'!D179</f>
        <v>127</v>
      </c>
      <c r="H74" s="661" t="s">
        <v>1390</v>
      </c>
      <c r="I74" s="662" t="s">
        <v>1393</v>
      </c>
      <c r="J74" s="686"/>
      <c r="K74" s="664"/>
      <c r="L74" s="299"/>
      <c r="M74" s="299"/>
      <c r="N74" s="299"/>
      <c r="O74" s="665"/>
      <c r="P74" s="299"/>
      <c r="Q74" s="299"/>
      <c r="R74" s="299"/>
      <c r="S74" s="666"/>
      <c r="T74" s="665"/>
      <c r="U74" s="299"/>
      <c r="V74" s="299"/>
      <c r="W74" s="299"/>
      <c r="X74" s="666"/>
      <c r="Y74" s="665"/>
      <c r="Z74" s="299"/>
      <c r="AA74" s="299"/>
      <c r="AB74" s="299"/>
      <c r="AC74" s="666"/>
      <c r="AD74" s="665"/>
      <c r="AE74" s="299"/>
      <c r="AF74" s="299"/>
      <c r="AG74" s="299"/>
      <c r="AH74" s="666"/>
      <c r="AI74" s="665"/>
      <c r="AJ74" s="299"/>
      <c r="AK74" s="299"/>
      <c r="AL74" s="299"/>
      <c r="AM74" s="666"/>
      <c r="AN74" s="665"/>
      <c r="AO74" s="299"/>
      <c r="AP74" s="299"/>
      <c r="AQ74" s="299"/>
      <c r="AR74" s="666"/>
      <c r="AS74" s="665"/>
      <c r="AT74" s="299"/>
      <c r="AU74" s="299"/>
      <c r="AV74" s="299"/>
      <c r="AW74" s="666"/>
      <c r="AX74" s="665"/>
      <c r="AY74" s="299"/>
      <c r="AZ74" s="299"/>
      <c r="BA74" s="299"/>
      <c r="BB74" s="666"/>
      <c r="BC74" s="665"/>
      <c r="BD74" s="299"/>
      <c r="BE74" s="299"/>
      <c r="BF74" s="299"/>
      <c r="BG74" s="666"/>
      <c r="BH74" s="665"/>
      <c r="BI74" s="299"/>
      <c r="BJ74" s="299"/>
      <c r="BK74" s="299"/>
      <c r="BL74" s="666"/>
      <c r="BM74" s="665"/>
      <c r="BN74" s="299"/>
      <c r="BO74" s="299"/>
      <c r="BP74" s="299"/>
      <c r="BQ74" s="666"/>
      <c r="BR74" s="665"/>
      <c r="BS74" s="691"/>
      <c r="BT74" s="691"/>
      <c r="BU74" s="691"/>
      <c r="BV74" s="692"/>
      <c r="BW74" s="693"/>
      <c r="BX74" s="691"/>
      <c r="BY74" s="691"/>
      <c r="BZ74" s="691"/>
      <c r="CA74" s="692"/>
      <c r="CB74" s="693"/>
      <c r="CC74" s="691"/>
      <c r="CD74" s="691"/>
      <c r="CE74" s="691"/>
      <c r="CF74" s="692"/>
      <c r="CG74" s="693"/>
      <c r="CH74" s="691"/>
      <c r="CI74" s="691"/>
      <c r="CJ74" s="691"/>
      <c r="CK74" s="692"/>
      <c r="CL74" s="693"/>
      <c r="CM74" s="691"/>
      <c r="CN74" s="691"/>
      <c r="CO74" s="691"/>
      <c r="CP74" s="692"/>
      <c r="CQ74" s="693"/>
      <c r="CR74" s="691"/>
      <c r="CS74" s="691"/>
      <c r="CT74" s="691"/>
      <c r="CU74" s="692"/>
      <c r="CV74" s="693"/>
      <c r="CW74" s="691"/>
      <c r="CX74" s="691"/>
      <c r="CY74" s="691"/>
      <c r="CZ74" s="692"/>
      <c r="DA74" s="693"/>
      <c r="DB74" s="691"/>
      <c r="DC74" s="691"/>
      <c r="DD74" s="691"/>
      <c r="DE74" s="692"/>
      <c r="DF74" s="693"/>
      <c r="DG74" s="691"/>
      <c r="DH74" s="691"/>
      <c r="DI74" s="691"/>
      <c r="DJ74" s="692"/>
      <c r="DK74" s="693"/>
      <c r="DL74" s="691"/>
      <c r="DM74" s="691"/>
      <c r="DN74" s="691"/>
      <c r="DO74" s="692"/>
      <c r="DP74" s="693"/>
      <c r="DQ74" s="691"/>
      <c r="DR74" s="691"/>
      <c r="DS74" s="691"/>
      <c r="DT74" s="692"/>
      <c r="DU74" s="693"/>
      <c r="DV74" s="691"/>
      <c r="DW74" s="691"/>
      <c r="DX74" s="691"/>
      <c r="DY74" s="692"/>
      <c r="DZ74" s="693"/>
      <c r="EA74" s="691"/>
      <c r="EB74" s="299"/>
      <c r="EC74" s="299"/>
      <c r="ED74" s="666"/>
      <c r="EE74" s="665"/>
      <c r="EF74" s="299"/>
      <c r="EG74" s="299"/>
      <c r="EH74" s="299"/>
      <c r="EI74" s="666"/>
      <c r="EJ74" s="665"/>
      <c r="EK74" s="299"/>
      <c r="EL74" s="299"/>
      <c r="EM74" s="299"/>
      <c r="EN74" s="666"/>
      <c r="EO74" s="665"/>
      <c r="EP74" s="299"/>
      <c r="EQ74" s="299"/>
      <c r="ER74" s="299"/>
      <c r="ES74" s="666"/>
      <c r="ET74" s="665"/>
      <c r="EU74" s="299"/>
      <c r="EV74" s="299"/>
      <c r="EW74" s="299"/>
      <c r="EX74" s="666"/>
      <c r="EY74" s="665"/>
      <c r="EZ74" s="299"/>
      <c r="FA74" s="299"/>
      <c r="FB74" s="299"/>
      <c r="FC74" s="666"/>
      <c r="FD74" s="665"/>
      <c r="FE74" s="299"/>
      <c r="FF74" s="299"/>
      <c r="FG74" s="299"/>
      <c r="FH74" s="666"/>
    </row>
    <row r="75" spans="2:164">
      <c r="B75" s="714"/>
      <c r="C75" s="714"/>
      <c r="D75" s="714"/>
      <c r="E75" s="715"/>
      <c r="F75" s="672"/>
      <c r="G75" s="672"/>
      <c r="H75" s="673"/>
      <c r="I75" s="674"/>
      <c r="J75" s="675"/>
      <c r="K75" s="676"/>
      <c r="L75" s="677"/>
      <c r="M75" s="677"/>
      <c r="N75" s="677"/>
      <c r="O75" s="678"/>
      <c r="P75" s="677"/>
      <c r="Q75" s="677"/>
      <c r="R75" s="677"/>
      <c r="S75" s="679"/>
      <c r="T75" s="678"/>
      <c r="U75" s="677"/>
      <c r="V75" s="677"/>
      <c r="W75" s="677"/>
      <c r="X75" s="679"/>
      <c r="Y75" s="678"/>
      <c r="Z75" s="677"/>
      <c r="AA75" s="677"/>
      <c r="AB75" s="677"/>
      <c r="AC75" s="679"/>
      <c r="AD75" s="678"/>
      <c r="AE75" s="677"/>
      <c r="AF75" s="677"/>
      <c r="AG75" s="677"/>
      <c r="AH75" s="679"/>
      <c r="AI75" s="678"/>
      <c r="AJ75" s="677"/>
      <c r="AK75" s="677"/>
      <c r="AL75" s="677"/>
      <c r="AM75" s="679"/>
      <c r="AN75" s="678"/>
      <c r="AO75" s="677"/>
      <c r="AP75" s="677"/>
      <c r="AQ75" s="677"/>
      <c r="AR75" s="679"/>
      <c r="AS75" s="678"/>
      <c r="AT75" s="677"/>
      <c r="AU75" s="677"/>
      <c r="AV75" s="677"/>
      <c r="AW75" s="679"/>
      <c r="AX75" s="678"/>
      <c r="AY75" s="677"/>
      <c r="AZ75" s="677"/>
      <c r="BA75" s="677"/>
      <c r="BB75" s="679"/>
      <c r="BC75" s="678"/>
      <c r="BD75" s="677"/>
      <c r="BE75" s="677"/>
      <c r="BF75" s="677"/>
      <c r="BG75" s="679"/>
      <c r="BH75" s="678"/>
      <c r="BI75" s="677"/>
      <c r="BJ75" s="677"/>
      <c r="BK75" s="677"/>
      <c r="BL75" s="679"/>
      <c r="BM75" s="678"/>
      <c r="BN75" s="677"/>
      <c r="BO75" s="677"/>
      <c r="BP75" s="677"/>
      <c r="BQ75" s="679"/>
      <c r="BR75" s="678"/>
      <c r="BS75" s="677"/>
      <c r="BT75" s="677"/>
      <c r="BU75" s="677"/>
      <c r="BV75" s="679"/>
      <c r="BW75" s="678"/>
      <c r="BX75" s="677"/>
      <c r="BY75" s="677"/>
      <c r="BZ75" s="677"/>
      <c r="CA75" s="679"/>
      <c r="CB75" s="678"/>
      <c r="CC75" s="677"/>
      <c r="CD75" s="677"/>
      <c r="CE75" s="677"/>
      <c r="CF75" s="679"/>
      <c r="CG75" s="678"/>
      <c r="CH75" s="677"/>
      <c r="CI75" s="677"/>
      <c r="CJ75" s="677"/>
      <c r="CK75" s="679"/>
      <c r="CL75" s="678"/>
      <c r="CM75" s="677"/>
      <c r="CN75" s="677"/>
      <c r="CO75" s="677"/>
      <c r="CP75" s="679"/>
      <c r="CQ75" s="678"/>
      <c r="CR75" s="677"/>
      <c r="CS75" s="677"/>
      <c r="CT75" s="677"/>
      <c r="CU75" s="679"/>
      <c r="CV75" s="678"/>
      <c r="CW75" s="677"/>
      <c r="CX75" s="677"/>
      <c r="CY75" s="677"/>
      <c r="CZ75" s="679"/>
      <c r="DA75" s="678"/>
      <c r="DB75" s="677"/>
      <c r="DC75" s="677"/>
      <c r="DD75" s="677"/>
      <c r="DE75" s="679"/>
      <c r="DF75" s="678"/>
      <c r="DG75" s="677"/>
      <c r="DH75" s="677"/>
      <c r="DI75" s="677"/>
      <c r="DJ75" s="679"/>
      <c r="DK75" s="678"/>
      <c r="DL75" s="677"/>
      <c r="DM75" s="677"/>
      <c r="DN75" s="677"/>
      <c r="DO75" s="679"/>
      <c r="DP75" s="678"/>
      <c r="DQ75" s="677"/>
      <c r="DR75" s="677"/>
      <c r="DS75" s="677"/>
      <c r="DT75" s="679"/>
      <c r="DU75" s="678"/>
      <c r="DV75" s="677"/>
      <c r="DW75" s="677"/>
      <c r="DX75" s="677"/>
      <c r="DY75" s="679"/>
      <c r="DZ75" s="678"/>
      <c r="EA75" s="677"/>
      <c r="EB75" s="677"/>
      <c r="EC75" s="677"/>
      <c r="ED75" s="679"/>
      <c r="EE75" s="678"/>
      <c r="EF75" s="677"/>
      <c r="EG75" s="677"/>
      <c r="EH75" s="677"/>
      <c r="EI75" s="679"/>
      <c r="EJ75" s="678"/>
      <c r="EK75" s="677"/>
      <c r="EL75" s="677"/>
      <c r="EM75" s="677"/>
      <c r="EN75" s="679"/>
      <c r="EO75" s="678"/>
      <c r="EP75" s="677"/>
      <c r="EQ75" s="677"/>
      <c r="ER75" s="677"/>
      <c r="ES75" s="679"/>
      <c r="ET75" s="678"/>
      <c r="EU75" s="677"/>
      <c r="EV75" s="677"/>
      <c r="EW75" s="677"/>
      <c r="EX75" s="679"/>
      <c r="EY75" s="678"/>
      <c r="EZ75" s="677"/>
      <c r="FA75" s="677"/>
      <c r="FB75" s="677"/>
      <c r="FC75" s="679"/>
      <c r="FD75" s="678"/>
      <c r="FE75" s="677"/>
      <c r="FF75" s="677"/>
      <c r="FG75" s="677"/>
      <c r="FH75" s="679"/>
    </row>
    <row r="76" spans="2:164" ht="14.25" thickBot="1">
      <c r="B76" s="708" t="s">
        <v>1394</v>
      </c>
      <c r="C76" s="708"/>
      <c r="D76" s="708"/>
      <c r="E76" s="709"/>
      <c r="F76" s="682"/>
      <c r="G76" s="682">
        <f>'[1]基本 (1)'!I199</f>
        <v>350</v>
      </c>
      <c r="H76" s="661" t="s">
        <v>1393</v>
      </c>
      <c r="I76" s="662" t="s">
        <v>1390</v>
      </c>
      <c r="J76" s="686"/>
      <c r="K76" s="664"/>
      <c r="L76" s="299"/>
      <c r="M76" s="299"/>
      <c r="N76" s="299"/>
      <c r="O76" s="665"/>
      <c r="P76" s="299"/>
      <c r="Q76" s="299"/>
      <c r="R76" s="299"/>
      <c r="S76" s="666"/>
      <c r="T76" s="665"/>
      <c r="U76" s="299"/>
      <c r="V76" s="299"/>
      <c r="W76" s="299"/>
      <c r="X76" s="666"/>
      <c r="Y76" s="665"/>
      <c r="Z76" s="299"/>
      <c r="AA76" s="299"/>
      <c r="AB76" s="299"/>
      <c r="AC76" s="666"/>
      <c r="AD76" s="665"/>
      <c r="AE76" s="299"/>
      <c r="AF76" s="299"/>
      <c r="AG76" s="299"/>
      <c r="AH76" s="666"/>
      <c r="AI76" s="665"/>
      <c r="AJ76" s="299"/>
      <c r="AK76" s="299"/>
      <c r="AL76" s="299"/>
      <c r="AM76" s="666"/>
      <c r="AN76" s="665"/>
      <c r="AO76" s="299"/>
      <c r="AP76" s="299"/>
      <c r="AQ76" s="299"/>
      <c r="AR76" s="666"/>
      <c r="AS76" s="665"/>
      <c r="AT76" s="299"/>
      <c r="AU76" s="299"/>
      <c r="AV76" s="299"/>
      <c r="AW76" s="666"/>
      <c r="AX76" s="665"/>
      <c r="AY76" s="299"/>
      <c r="AZ76" s="299"/>
      <c r="BA76" s="299"/>
      <c r="BB76" s="666"/>
      <c r="BC76" s="665"/>
      <c r="BD76" s="299"/>
      <c r="BE76" s="299"/>
      <c r="BF76" s="299"/>
      <c r="BG76" s="666"/>
      <c r="BH76" s="665"/>
      <c r="BI76" s="299"/>
      <c r="BJ76" s="299"/>
      <c r="BK76" s="299"/>
      <c r="BL76" s="666"/>
      <c r="BM76" s="665"/>
      <c r="BN76" s="299"/>
      <c r="BO76" s="299"/>
      <c r="BP76" s="691"/>
      <c r="BQ76" s="692"/>
      <c r="BR76" s="693"/>
      <c r="BS76" s="691"/>
      <c r="BT76" s="691"/>
      <c r="BU76" s="691"/>
      <c r="BV76" s="692"/>
      <c r="BW76" s="693"/>
      <c r="BX76" s="691"/>
      <c r="BY76" s="691"/>
      <c r="BZ76" s="691"/>
      <c r="CA76" s="692"/>
      <c r="CB76" s="693"/>
      <c r="CC76" s="691"/>
      <c r="CD76" s="691"/>
      <c r="CE76" s="691"/>
      <c r="CF76" s="692"/>
      <c r="CG76" s="693"/>
      <c r="CH76" s="691"/>
      <c r="CI76" s="691"/>
      <c r="CJ76" s="691"/>
      <c r="CK76" s="692"/>
      <c r="CL76" s="693"/>
      <c r="CM76" s="691"/>
      <c r="CN76" s="691"/>
      <c r="CO76" s="691"/>
      <c r="CP76" s="692"/>
      <c r="CQ76" s="693"/>
      <c r="CR76" s="691"/>
      <c r="CS76" s="691"/>
      <c r="CT76" s="691"/>
      <c r="CU76" s="692"/>
      <c r="CV76" s="693"/>
      <c r="CW76" s="691"/>
      <c r="CX76" s="691"/>
      <c r="CY76" s="691"/>
      <c r="CZ76" s="692"/>
      <c r="DA76" s="693"/>
      <c r="DB76" s="691"/>
      <c r="DC76" s="691"/>
      <c r="DD76" s="691"/>
      <c r="DE76" s="692"/>
      <c r="DF76" s="693"/>
      <c r="DG76" s="691"/>
      <c r="DH76" s="691"/>
      <c r="DI76" s="691"/>
      <c r="DJ76" s="692"/>
      <c r="DK76" s="693"/>
      <c r="DL76" s="691"/>
      <c r="DM76" s="691"/>
      <c r="DN76" s="691"/>
      <c r="DO76" s="692"/>
      <c r="DP76" s="693"/>
      <c r="DQ76" s="691"/>
      <c r="DR76" s="691"/>
      <c r="DS76" s="691"/>
      <c r="DT76" s="692"/>
      <c r="DU76" s="693"/>
      <c r="DV76" s="691"/>
      <c r="DW76" s="691"/>
      <c r="DX76" s="691"/>
      <c r="DY76" s="692"/>
      <c r="DZ76" s="693"/>
      <c r="EA76" s="691"/>
      <c r="EB76" s="691"/>
      <c r="EC76" s="299"/>
      <c r="ED76" s="666"/>
      <c r="EE76" s="665"/>
      <c r="EF76" s="299"/>
      <c r="EG76" s="299"/>
      <c r="EH76" s="299"/>
      <c r="EI76" s="666"/>
      <c r="EJ76" s="665"/>
      <c r="EK76" s="299"/>
      <c r="EL76" s="299"/>
      <c r="EM76" s="299"/>
      <c r="EN76" s="666"/>
      <c r="EO76" s="665"/>
      <c r="EP76" s="299"/>
      <c r="EQ76" s="299"/>
      <c r="ER76" s="299"/>
      <c r="ES76" s="666"/>
      <c r="ET76" s="665"/>
      <c r="EU76" s="299"/>
      <c r="EV76" s="299"/>
      <c r="EW76" s="299"/>
      <c r="EX76" s="666"/>
      <c r="EY76" s="665"/>
      <c r="EZ76" s="299"/>
      <c r="FA76" s="299"/>
      <c r="FB76" s="299"/>
      <c r="FC76" s="666"/>
      <c r="FD76" s="665"/>
      <c r="FE76" s="299"/>
      <c r="FF76" s="299"/>
      <c r="FG76" s="299"/>
      <c r="FH76" s="666"/>
    </row>
    <row r="77" spans="2:164">
      <c r="B77" s="714"/>
      <c r="C77" s="714"/>
      <c r="D77" s="714"/>
      <c r="E77" s="715"/>
      <c r="F77" s="672"/>
      <c r="G77" s="672"/>
      <c r="H77" s="673"/>
      <c r="I77" s="674"/>
      <c r="J77" s="675"/>
      <c r="K77" s="676"/>
      <c r="L77" s="677"/>
      <c r="M77" s="677"/>
      <c r="N77" s="677"/>
      <c r="O77" s="678"/>
      <c r="P77" s="677"/>
      <c r="Q77" s="677"/>
      <c r="R77" s="677"/>
      <c r="S77" s="679"/>
      <c r="T77" s="678"/>
      <c r="U77" s="677"/>
      <c r="V77" s="677"/>
      <c r="W77" s="677"/>
      <c r="X77" s="679"/>
      <c r="Y77" s="678"/>
      <c r="Z77" s="677"/>
      <c r="AA77" s="677"/>
      <c r="AB77" s="677"/>
      <c r="AC77" s="679"/>
      <c r="AD77" s="678"/>
      <c r="AE77" s="677"/>
      <c r="AF77" s="677"/>
      <c r="AG77" s="677"/>
      <c r="AH77" s="679"/>
      <c r="AI77" s="678"/>
      <c r="AJ77" s="677"/>
      <c r="AK77" s="677"/>
      <c r="AL77" s="677"/>
      <c r="AM77" s="679"/>
      <c r="AN77" s="678"/>
      <c r="AO77" s="677"/>
      <c r="AP77" s="677"/>
      <c r="AQ77" s="677"/>
      <c r="AR77" s="679"/>
      <c r="AS77" s="678"/>
      <c r="AT77" s="677"/>
      <c r="AU77" s="677"/>
      <c r="AV77" s="677"/>
      <c r="AW77" s="679"/>
      <c r="AX77" s="678"/>
      <c r="AY77" s="677"/>
      <c r="AZ77" s="677"/>
      <c r="BA77" s="677"/>
      <c r="BB77" s="679"/>
      <c r="BC77" s="678"/>
      <c r="BD77" s="677"/>
      <c r="BE77" s="677"/>
      <c r="BF77" s="677"/>
      <c r="BG77" s="679"/>
      <c r="BH77" s="678"/>
      <c r="BI77" s="677"/>
      <c r="BJ77" s="677"/>
      <c r="BK77" s="677"/>
      <c r="BL77" s="679"/>
      <c r="BM77" s="678"/>
      <c r="BN77" s="677"/>
      <c r="BO77" s="677"/>
      <c r="BP77" s="677"/>
      <c r="BQ77" s="679"/>
      <c r="BR77" s="678"/>
      <c r="BS77" s="677"/>
      <c r="BT77" s="677"/>
      <c r="BU77" s="677"/>
      <c r="BV77" s="679"/>
      <c r="BW77" s="678"/>
      <c r="BX77" s="677"/>
      <c r="BY77" s="677"/>
      <c r="BZ77" s="677"/>
      <c r="CA77" s="679"/>
      <c r="CB77" s="678"/>
      <c r="CC77" s="677"/>
      <c r="CD77" s="677"/>
      <c r="CE77" s="677"/>
      <c r="CF77" s="679"/>
      <c r="CG77" s="678"/>
      <c r="CH77" s="677"/>
      <c r="CI77" s="677"/>
      <c r="CJ77" s="677"/>
      <c r="CK77" s="679"/>
      <c r="CL77" s="678"/>
      <c r="CM77" s="677"/>
      <c r="CN77" s="677"/>
      <c r="CO77" s="677"/>
      <c r="CP77" s="679"/>
      <c r="CQ77" s="678"/>
      <c r="CR77" s="677"/>
      <c r="CS77" s="677"/>
      <c r="CT77" s="677"/>
      <c r="CU77" s="679"/>
      <c r="CV77" s="678"/>
      <c r="CW77" s="677"/>
      <c r="CX77" s="677"/>
      <c r="CY77" s="677"/>
      <c r="CZ77" s="679"/>
      <c r="DA77" s="678"/>
      <c r="DB77" s="677"/>
      <c r="DC77" s="677"/>
      <c r="DD77" s="677"/>
      <c r="DE77" s="679"/>
      <c r="DF77" s="678"/>
      <c r="DG77" s="677"/>
      <c r="DH77" s="677"/>
      <c r="DI77" s="677"/>
      <c r="DJ77" s="679"/>
      <c r="DK77" s="678"/>
      <c r="DL77" s="677"/>
      <c r="DM77" s="677"/>
      <c r="DN77" s="677"/>
      <c r="DO77" s="679"/>
      <c r="DP77" s="678"/>
      <c r="DQ77" s="677"/>
      <c r="DR77" s="677"/>
      <c r="DS77" s="677"/>
      <c r="DT77" s="679"/>
      <c r="DU77" s="678"/>
      <c r="DV77" s="677"/>
      <c r="DW77" s="677"/>
      <c r="DX77" s="677"/>
      <c r="DY77" s="679"/>
      <c r="DZ77" s="678"/>
      <c r="EA77" s="677"/>
      <c r="EB77" s="677"/>
      <c r="EC77" s="677"/>
      <c r="ED77" s="679"/>
      <c r="EE77" s="678"/>
      <c r="EF77" s="677"/>
      <c r="EG77" s="677"/>
      <c r="EH77" s="677"/>
      <c r="EI77" s="679"/>
      <c r="EJ77" s="678"/>
      <c r="EK77" s="677"/>
      <c r="EL77" s="677"/>
      <c r="EM77" s="677"/>
      <c r="EN77" s="679"/>
      <c r="EO77" s="678"/>
      <c r="EP77" s="677"/>
      <c r="EQ77" s="677"/>
      <c r="ER77" s="677"/>
      <c r="ES77" s="679"/>
      <c r="ET77" s="678"/>
      <c r="EU77" s="677"/>
      <c r="EV77" s="677"/>
      <c r="EW77" s="677"/>
      <c r="EX77" s="679"/>
      <c r="EY77" s="678"/>
      <c r="EZ77" s="677"/>
      <c r="FA77" s="677"/>
      <c r="FB77" s="677"/>
      <c r="FC77" s="679"/>
      <c r="FD77" s="678"/>
      <c r="FE77" s="677"/>
      <c r="FF77" s="677"/>
      <c r="FG77" s="677"/>
      <c r="FH77" s="679"/>
    </row>
    <row r="78" spans="2:164" hidden="1">
      <c r="B78" s="708" t="s">
        <v>899</v>
      </c>
      <c r="C78" s="708"/>
      <c r="D78" s="708"/>
      <c r="E78" s="709"/>
      <c r="F78" s="682"/>
      <c r="G78" s="682">
        <f>'[1]基本 (1)'!D211</f>
        <v>0</v>
      </c>
      <c r="H78" s="661" t="s">
        <v>1391</v>
      </c>
      <c r="I78" s="662" t="s">
        <v>1391</v>
      </c>
      <c r="J78" s="686"/>
      <c r="K78" s="664"/>
      <c r="L78" s="299"/>
      <c r="M78" s="299"/>
      <c r="N78" s="299"/>
      <c r="O78" s="665"/>
      <c r="P78" s="299"/>
      <c r="Q78" s="299"/>
      <c r="R78" s="299"/>
      <c r="S78" s="666"/>
      <c r="T78" s="665"/>
      <c r="U78" s="299"/>
      <c r="V78" s="299"/>
      <c r="W78" s="299"/>
      <c r="X78" s="666"/>
      <c r="Y78" s="665"/>
      <c r="Z78" s="299"/>
      <c r="AA78" s="299"/>
      <c r="AB78" s="299"/>
      <c r="AC78" s="666"/>
      <c r="AD78" s="665"/>
      <c r="AE78" s="299"/>
      <c r="AF78" s="299"/>
      <c r="AG78" s="299"/>
      <c r="AH78" s="666"/>
      <c r="AI78" s="665"/>
      <c r="AJ78" s="299"/>
      <c r="AK78" s="299"/>
      <c r="AL78" s="299"/>
      <c r="AM78" s="666"/>
      <c r="AN78" s="665"/>
      <c r="AO78" s="299"/>
      <c r="AP78" s="299"/>
      <c r="AQ78" s="299"/>
      <c r="AR78" s="666"/>
      <c r="AS78" s="665"/>
      <c r="AT78" s="299"/>
      <c r="AU78" s="299"/>
      <c r="AV78" s="299"/>
      <c r="AW78" s="666"/>
      <c r="AX78" s="665"/>
      <c r="AY78" s="299"/>
      <c r="AZ78" s="299"/>
      <c r="BA78" s="299"/>
      <c r="BB78" s="666"/>
      <c r="BC78" s="665"/>
      <c r="BD78" s="299"/>
      <c r="BE78" s="299"/>
      <c r="BF78" s="299"/>
      <c r="BG78" s="666"/>
      <c r="BH78" s="665"/>
      <c r="BI78" s="299"/>
      <c r="BJ78" s="299"/>
      <c r="BK78" s="299"/>
      <c r="BL78" s="666"/>
      <c r="BM78" s="665"/>
      <c r="BN78" s="299"/>
      <c r="BO78" s="299"/>
      <c r="BP78" s="299"/>
      <c r="BQ78" s="666"/>
      <c r="BR78" s="665"/>
      <c r="BS78" s="299"/>
      <c r="BT78" s="299"/>
      <c r="BU78" s="299"/>
      <c r="BV78" s="666"/>
      <c r="BW78" s="665"/>
      <c r="BX78" s="299"/>
      <c r="BY78" s="299"/>
      <c r="BZ78" s="299"/>
      <c r="CA78" s="666"/>
      <c r="CB78" s="665"/>
      <c r="CC78" s="299"/>
      <c r="CD78" s="299"/>
      <c r="CE78" s="299"/>
      <c r="CF78" s="666"/>
      <c r="CG78" s="665"/>
      <c r="CH78" s="299"/>
      <c r="CI78" s="299"/>
      <c r="CJ78" s="299"/>
      <c r="CK78" s="666"/>
      <c r="CL78" s="665"/>
      <c r="CM78" s="299"/>
      <c r="CN78" s="299"/>
      <c r="CO78" s="299"/>
      <c r="CP78" s="666"/>
      <c r="CQ78" s="665"/>
      <c r="CR78" s="299"/>
      <c r="CS78" s="299"/>
      <c r="CT78" s="299"/>
      <c r="CU78" s="666"/>
      <c r="CV78" s="665"/>
      <c r="CW78" s="299"/>
      <c r="CX78" s="299"/>
      <c r="CY78" s="299"/>
      <c r="CZ78" s="666"/>
      <c r="DA78" s="665"/>
      <c r="DB78" s="299"/>
      <c r="DC78" s="299"/>
      <c r="DD78" s="299"/>
      <c r="DE78" s="666"/>
      <c r="DF78" s="665"/>
      <c r="DG78" s="299"/>
      <c r="DH78" s="299"/>
      <c r="DI78" s="299"/>
      <c r="DJ78" s="666"/>
      <c r="DK78" s="665"/>
      <c r="DL78" s="299"/>
      <c r="DM78" s="299"/>
      <c r="DN78" s="299"/>
      <c r="DO78" s="666"/>
      <c r="DP78" s="665"/>
      <c r="DQ78" s="299"/>
      <c r="DR78" s="299"/>
      <c r="DS78" s="299"/>
      <c r="DT78" s="666"/>
      <c r="DU78" s="665"/>
      <c r="DV78" s="299"/>
      <c r="DW78" s="299"/>
      <c r="DX78" s="299"/>
      <c r="DY78" s="666"/>
      <c r="DZ78" s="665"/>
      <c r="EA78" s="299"/>
      <c r="EB78" s="299"/>
      <c r="EC78" s="299"/>
      <c r="ED78" s="666"/>
      <c r="EE78" s="665"/>
      <c r="EF78" s="299"/>
      <c r="EG78" s="299"/>
      <c r="EH78" s="299"/>
      <c r="EI78" s="666"/>
      <c r="EJ78" s="665"/>
      <c r="EK78" s="299"/>
      <c r="EL78" s="299"/>
      <c r="EM78" s="299"/>
      <c r="EN78" s="666"/>
      <c r="EO78" s="665"/>
      <c r="EP78" s="299"/>
      <c r="EQ78" s="299"/>
      <c r="ER78" s="299"/>
      <c r="ES78" s="666"/>
      <c r="ET78" s="665"/>
      <c r="EU78" s="299"/>
      <c r="EV78" s="299"/>
      <c r="EW78" s="299"/>
      <c r="EX78" s="666"/>
      <c r="EY78" s="665"/>
      <c r="EZ78" s="299"/>
      <c r="FA78" s="299"/>
      <c r="FB78" s="299"/>
      <c r="FC78" s="666"/>
      <c r="FD78" s="665"/>
      <c r="FE78" s="299"/>
      <c r="FF78" s="299"/>
      <c r="FG78" s="299"/>
      <c r="FH78" s="666"/>
    </row>
    <row r="79" spans="2:164" hidden="1">
      <c r="B79" s="714"/>
      <c r="C79" s="714"/>
      <c r="D79" s="714"/>
      <c r="E79" s="715"/>
      <c r="F79" s="672"/>
      <c r="G79" s="672"/>
      <c r="H79" s="673"/>
      <c r="I79" s="674"/>
      <c r="J79" s="675"/>
      <c r="K79" s="676"/>
      <c r="L79" s="677"/>
      <c r="M79" s="677"/>
      <c r="N79" s="677"/>
      <c r="O79" s="678"/>
      <c r="P79" s="677"/>
      <c r="Q79" s="677"/>
      <c r="R79" s="677"/>
      <c r="S79" s="679"/>
      <c r="T79" s="678"/>
      <c r="U79" s="677"/>
      <c r="V79" s="677"/>
      <c r="W79" s="677"/>
      <c r="X79" s="679"/>
      <c r="Y79" s="678"/>
      <c r="Z79" s="677"/>
      <c r="AA79" s="677"/>
      <c r="AB79" s="677"/>
      <c r="AC79" s="679"/>
      <c r="AD79" s="678"/>
      <c r="AE79" s="677"/>
      <c r="AF79" s="677"/>
      <c r="AG79" s="677"/>
      <c r="AH79" s="679"/>
      <c r="AI79" s="678"/>
      <c r="AJ79" s="677"/>
      <c r="AK79" s="677"/>
      <c r="AL79" s="677"/>
      <c r="AM79" s="679"/>
      <c r="AN79" s="678"/>
      <c r="AO79" s="677"/>
      <c r="AP79" s="677"/>
      <c r="AQ79" s="677"/>
      <c r="AR79" s="679"/>
      <c r="AS79" s="678"/>
      <c r="AT79" s="677"/>
      <c r="AU79" s="677"/>
      <c r="AV79" s="677"/>
      <c r="AW79" s="679"/>
      <c r="AX79" s="678"/>
      <c r="AY79" s="677"/>
      <c r="AZ79" s="677"/>
      <c r="BA79" s="677"/>
      <c r="BB79" s="679"/>
      <c r="BC79" s="678"/>
      <c r="BD79" s="677"/>
      <c r="BE79" s="677"/>
      <c r="BF79" s="677"/>
      <c r="BG79" s="679"/>
      <c r="BH79" s="678"/>
      <c r="BI79" s="677"/>
      <c r="BJ79" s="677"/>
      <c r="BK79" s="677"/>
      <c r="BL79" s="679"/>
      <c r="BM79" s="678"/>
      <c r="BN79" s="677"/>
      <c r="BO79" s="677"/>
      <c r="BP79" s="677"/>
      <c r="BQ79" s="679"/>
      <c r="BR79" s="678"/>
      <c r="BS79" s="677"/>
      <c r="BT79" s="677"/>
      <c r="BU79" s="677"/>
      <c r="BV79" s="679"/>
      <c r="BW79" s="678"/>
      <c r="BX79" s="677"/>
      <c r="BY79" s="677"/>
      <c r="BZ79" s="677"/>
      <c r="CA79" s="679"/>
      <c r="CB79" s="678"/>
      <c r="CC79" s="677"/>
      <c r="CD79" s="677"/>
      <c r="CE79" s="677"/>
      <c r="CF79" s="679"/>
      <c r="CG79" s="678"/>
      <c r="CH79" s="677"/>
      <c r="CI79" s="677"/>
      <c r="CJ79" s="677"/>
      <c r="CK79" s="679"/>
      <c r="CL79" s="678"/>
      <c r="CM79" s="677"/>
      <c r="CN79" s="677"/>
      <c r="CO79" s="677"/>
      <c r="CP79" s="679"/>
      <c r="CQ79" s="678"/>
      <c r="CR79" s="677"/>
      <c r="CS79" s="677"/>
      <c r="CT79" s="677"/>
      <c r="CU79" s="679"/>
      <c r="CV79" s="678"/>
      <c r="CW79" s="677"/>
      <c r="CX79" s="677"/>
      <c r="CY79" s="677"/>
      <c r="CZ79" s="679"/>
      <c r="DA79" s="678"/>
      <c r="DB79" s="677"/>
      <c r="DC79" s="677"/>
      <c r="DD79" s="677"/>
      <c r="DE79" s="679"/>
      <c r="DF79" s="678"/>
      <c r="DG79" s="677"/>
      <c r="DH79" s="677"/>
      <c r="DI79" s="677"/>
      <c r="DJ79" s="679"/>
      <c r="DK79" s="678"/>
      <c r="DL79" s="677"/>
      <c r="DM79" s="677"/>
      <c r="DN79" s="677"/>
      <c r="DO79" s="679"/>
      <c r="DP79" s="678"/>
      <c r="DQ79" s="677"/>
      <c r="DR79" s="677"/>
      <c r="DS79" s="677"/>
      <c r="DT79" s="679"/>
      <c r="DU79" s="678"/>
      <c r="DV79" s="677"/>
      <c r="DW79" s="677"/>
      <c r="DX79" s="677"/>
      <c r="DY79" s="679"/>
      <c r="DZ79" s="678"/>
      <c r="EA79" s="677"/>
      <c r="EB79" s="677"/>
      <c r="EC79" s="677"/>
      <c r="ED79" s="679"/>
      <c r="EE79" s="678"/>
      <c r="EF79" s="677"/>
      <c r="EG79" s="677"/>
      <c r="EH79" s="677"/>
      <c r="EI79" s="679"/>
      <c r="EJ79" s="678"/>
      <c r="EK79" s="677"/>
      <c r="EL79" s="677"/>
      <c r="EM79" s="677"/>
      <c r="EN79" s="679"/>
      <c r="EO79" s="678"/>
      <c r="EP79" s="677"/>
      <c r="EQ79" s="677"/>
      <c r="ER79" s="677"/>
      <c r="ES79" s="679"/>
      <c r="ET79" s="678"/>
      <c r="EU79" s="677"/>
      <c r="EV79" s="677"/>
      <c r="EW79" s="677"/>
      <c r="EX79" s="679"/>
      <c r="EY79" s="678"/>
      <c r="EZ79" s="677"/>
      <c r="FA79" s="677"/>
      <c r="FB79" s="677"/>
      <c r="FC79" s="679"/>
      <c r="FD79" s="678"/>
      <c r="FE79" s="677"/>
      <c r="FF79" s="677"/>
      <c r="FG79" s="677"/>
      <c r="FH79" s="679"/>
    </row>
    <row r="80" spans="2:164" ht="14.25" thickBot="1">
      <c r="B80" s="708" t="s">
        <v>880</v>
      </c>
      <c r="C80" s="708"/>
      <c r="D80" s="708"/>
      <c r="E80" s="709"/>
      <c r="F80" s="682"/>
      <c r="G80" s="682">
        <f>'[1]基本 (1)'!D221</f>
        <v>116</v>
      </c>
      <c r="H80" s="661" t="s">
        <v>1393</v>
      </c>
      <c r="I80" s="662" t="s">
        <v>1393</v>
      </c>
      <c r="J80" s="686"/>
      <c r="K80" s="664"/>
      <c r="L80" s="299"/>
      <c r="M80" s="299"/>
      <c r="N80" s="299"/>
      <c r="O80" s="665"/>
      <c r="P80" s="299"/>
      <c r="Q80" s="299"/>
      <c r="R80" s="299"/>
      <c r="S80" s="666"/>
      <c r="T80" s="665"/>
      <c r="U80" s="299"/>
      <c r="V80" s="299"/>
      <c r="W80" s="299"/>
      <c r="X80" s="666"/>
      <c r="Y80" s="665"/>
      <c r="Z80" s="299"/>
      <c r="AA80" s="299"/>
      <c r="AB80" s="299"/>
      <c r="AC80" s="666"/>
      <c r="AD80" s="665"/>
      <c r="AE80" s="299"/>
      <c r="AF80" s="299"/>
      <c r="AG80" s="299"/>
      <c r="AH80" s="666"/>
      <c r="AI80" s="665"/>
      <c r="AJ80" s="299"/>
      <c r="AK80" s="299"/>
      <c r="AL80" s="299"/>
      <c r="AM80" s="666"/>
      <c r="AN80" s="665"/>
      <c r="AO80" s="299"/>
      <c r="AP80" s="299"/>
      <c r="AQ80" s="299"/>
      <c r="AR80" s="666"/>
      <c r="AS80" s="665"/>
      <c r="AT80" s="299"/>
      <c r="AU80" s="299"/>
      <c r="AV80" s="299"/>
      <c r="AW80" s="666"/>
      <c r="AX80" s="665"/>
      <c r="AY80" s="299"/>
      <c r="AZ80" s="299"/>
      <c r="BA80" s="299"/>
      <c r="BB80" s="666"/>
      <c r="BC80" s="665"/>
      <c r="BD80" s="299"/>
      <c r="BE80" s="299"/>
      <c r="BF80" s="299"/>
      <c r="BG80" s="666"/>
      <c r="BH80" s="665"/>
      <c r="BI80" s="299"/>
      <c r="BJ80" s="299"/>
      <c r="BK80" s="691"/>
      <c r="BL80" s="692"/>
      <c r="BM80" s="693"/>
      <c r="BN80" s="691"/>
      <c r="BO80" s="691"/>
      <c r="BP80" s="691"/>
      <c r="BQ80" s="692"/>
      <c r="BR80" s="693"/>
      <c r="BS80" s="691"/>
      <c r="BT80" s="691"/>
      <c r="BU80" s="691"/>
      <c r="BV80" s="692"/>
      <c r="BW80" s="693"/>
      <c r="BX80" s="691"/>
      <c r="BY80" s="691"/>
      <c r="BZ80" s="691"/>
      <c r="CA80" s="692"/>
      <c r="CB80" s="693"/>
      <c r="CC80" s="691"/>
      <c r="CD80" s="691"/>
      <c r="CE80" s="691"/>
      <c r="CF80" s="692"/>
      <c r="CG80" s="693"/>
      <c r="CH80" s="691"/>
      <c r="CI80" s="691"/>
      <c r="CJ80" s="691"/>
      <c r="CK80" s="692"/>
      <c r="CL80" s="693"/>
      <c r="CM80" s="691"/>
      <c r="CN80" s="691"/>
      <c r="CO80" s="691"/>
      <c r="CP80" s="692"/>
      <c r="CQ80" s="693"/>
      <c r="CR80" s="691"/>
      <c r="CS80" s="691"/>
      <c r="CT80" s="691"/>
      <c r="CU80" s="692"/>
      <c r="CV80" s="693"/>
      <c r="CW80" s="691"/>
      <c r="CX80" s="691"/>
      <c r="CY80" s="691"/>
      <c r="CZ80" s="692"/>
      <c r="DA80" s="693"/>
      <c r="DB80" s="691"/>
      <c r="DC80" s="691"/>
      <c r="DD80" s="691"/>
      <c r="DE80" s="692"/>
      <c r="DF80" s="693"/>
      <c r="DG80" s="691"/>
      <c r="DH80" s="691"/>
      <c r="DI80" s="691"/>
      <c r="DJ80" s="692"/>
      <c r="DK80" s="693"/>
      <c r="DL80" s="691"/>
      <c r="DM80" s="691"/>
      <c r="DN80" s="691"/>
      <c r="DO80" s="692"/>
      <c r="DP80" s="693"/>
      <c r="DQ80" s="691"/>
      <c r="DR80" s="691"/>
      <c r="DS80" s="691"/>
      <c r="DT80" s="692"/>
      <c r="DU80" s="693"/>
      <c r="DV80" s="691"/>
      <c r="DW80" s="691"/>
      <c r="DX80" s="691"/>
      <c r="DY80" s="692"/>
      <c r="DZ80" s="693"/>
      <c r="EA80" s="691"/>
      <c r="EB80" s="691"/>
      <c r="EC80" s="691"/>
      <c r="ED80" s="666"/>
      <c r="EE80" s="665"/>
      <c r="EF80" s="299"/>
      <c r="EG80" s="299"/>
      <c r="EH80" s="299"/>
      <c r="EI80" s="666"/>
      <c r="EJ80" s="665"/>
      <c r="EK80" s="299"/>
      <c r="EL80" s="299"/>
      <c r="EM80" s="299"/>
      <c r="EN80" s="666"/>
      <c r="EO80" s="665"/>
      <c r="EP80" s="299"/>
      <c r="EQ80" s="299"/>
      <c r="ER80" s="299"/>
      <c r="ES80" s="666"/>
      <c r="ET80" s="665"/>
      <c r="EU80" s="299"/>
      <c r="EV80" s="299"/>
      <c r="EW80" s="299"/>
      <c r="EX80" s="666"/>
      <c r="EY80" s="665"/>
      <c r="EZ80" s="299"/>
      <c r="FA80" s="299"/>
      <c r="FB80" s="299"/>
      <c r="FC80" s="666"/>
      <c r="FD80" s="665"/>
      <c r="FE80" s="299"/>
      <c r="FF80" s="299"/>
      <c r="FG80" s="299"/>
      <c r="FH80" s="666"/>
    </row>
    <row r="81" spans="2:164">
      <c r="B81" s="714"/>
      <c r="C81" s="714"/>
      <c r="D81" s="714"/>
      <c r="E81" s="715"/>
      <c r="F81" s="672"/>
      <c r="G81" s="672"/>
      <c r="H81" s="673"/>
      <c r="I81" s="674"/>
      <c r="J81" s="675"/>
      <c r="K81" s="676"/>
      <c r="L81" s="677"/>
      <c r="M81" s="677"/>
      <c r="N81" s="677"/>
      <c r="O81" s="678"/>
      <c r="P81" s="677"/>
      <c r="Q81" s="677"/>
      <c r="R81" s="677"/>
      <c r="S81" s="679"/>
      <c r="T81" s="678"/>
      <c r="U81" s="677"/>
      <c r="V81" s="677"/>
      <c r="W81" s="677"/>
      <c r="X81" s="679"/>
      <c r="Y81" s="678"/>
      <c r="Z81" s="677"/>
      <c r="AA81" s="677"/>
      <c r="AB81" s="677"/>
      <c r="AC81" s="679"/>
      <c r="AD81" s="678"/>
      <c r="AE81" s="677"/>
      <c r="AF81" s="677"/>
      <c r="AG81" s="677"/>
      <c r="AH81" s="679"/>
      <c r="AI81" s="678"/>
      <c r="AJ81" s="677"/>
      <c r="AK81" s="677"/>
      <c r="AL81" s="677"/>
      <c r="AM81" s="679"/>
      <c r="AN81" s="678"/>
      <c r="AO81" s="677"/>
      <c r="AP81" s="677"/>
      <c r="AQ81" s="677"/>
      <c r="AR81" s="679"/>
      <c r="AS81" s="678"/>
      <c r="AT81" s="677"/>
      <c r="AU81" s="677"/>
      <c r="AV81" s="677"/>
      <c r="AW81" s="679"/>
      <c r="AX81" s="678"/>
      <c r="AY81" s="677"/>
      <c r="AZ81" s="677"/>
      <c r="BA81" s="677"/>
      <c r="BB81" s="679"/>
      <c r="BC81" s="678"/>
      <c r="BD81" s="677"/>
      <c r="BE81" s="677"/>
      <c r="BF81" s="677"/>
      <c r="BG81" s="679"/>
      <c r="BH81" s="678"/>
      <c r="BI81" s="677"/>
      <c r="BJ81" s="677"/>
      <c r="BK81" s="677"/>
      <c r="BL81" s="679"/>
      <c r="BM81" s="678"/>
      <c r="BN81" s="677"/>
      <c r="BO81" s="677"/>
      <c r="BP81" s="677"/>
      <c r="BQ81" s="679"/>
      <c r="BR81" s="678"/>
      <c r="BS81" s="677"/>
      <c r="BT81" s="677"/>
      <c r="BU81" s="677"/>
      <c r="BV81" s="679"/>
      <c r="BW81" s="678"/>
      <c r="BX81" s="677"/>
      <c r="BY81" s="677"/>
      <c r="BZ81" s="677"/>
      <c r="CA81" s="679"/>
      <c r="CB81" s="678"/>
      <c r="CC81" s="677"/>
      <c r="CD81" s="677"/>
      <c r="CE81" s="677"/>
      <c r="CF81" s="679"/>
      <c r="CG81" s="678"/>
      <c r="CH81" s="677"/>
      <c r="CI81" s="677"/>
      <c r="CJ81" s="677"/>
      <c r="CK81" s="679"/>
      <c r="CL81" s="678"/>
      <c r="CM81" s="677"/>
      <c r="CN81" s="677"/>
      <c r="CO81" s="677"/>
      <c r="CP81" s="679"/>
      <c r="CQ81" s="678"/>
      <c r="CR81" s="677"/>
      <c r="CS81" s="677"/>
      <c r="CT81" s="677"/>
      <c r="CU81" s="679"/>
      <c r="CV81" s="678"/>
      <c r="CW81" s="677"/>
      <c r="CX81" s="677"/>
      <c r="CY81" s="677"/>
      <c r="CZ81" s="679"/>
      <c r="DA81" s="678"/>
      <c r="DB81" s="677"/>
      <c r="DC81" s="677"/>
      <c r="DD81" s="677"/>
      <c r="DE81" s="679"/>
      <c r="DF81" s="678"/>
      <c r="DG81" s="677"/>
      <c r="DH81" s="677"/>
      <c r="DI81" s="677"/>
      <c r="DJ81" s="679"/>
      <c r="DK81" s="678"/>
      <c r="DL81" s="677"/>
      <c r="DM81" s="677"/>
      <c r="DN81" s="677"/>
      <c r="DO81" s="679"/>
      <c r="DP81" s="678"/>
      <c r="DQ81" s="677"/>
      <c r="DR81" s="677"/>
      <c r="DS81" s="677"/>
      <c r="DT81" s="679"/>
      <c r="DU81" s="678"/>
      <c r="DV81" s="677"/>
      <c r="DW81" s="677"/>
      <c r="DX81" s="677"/>
      <c r="DY81" s="679"/>
      <c r="DZ81" s="678"/>
      <c r="EA81" s="677"/>
      <c r="EB81" s="677"/>
      <c r="EC81" s="677"/>
      <c r="ED81" s="679"/>
      <c r="EE81" s="678"/>
      <c r="EF81" s="677"/>
      <c r="EG81" s="677"/>
      <c r="EH81" s="677"/>
      <c r="EI81" s="679"/>
      <c r="EJ81" s="678"/>
      <c r="EK81" s="677"/>
      <c r="EL81" s="677"/>
      <c r="EM81" s="677"/>
      <c r="EN81" s="679"/>
      <c r="EO81" s="678"/>
      <c r="EP81" s="677"/>
      <c r="EQ81" s="677"/>
      <c r="ER81" s="677"/>
      <c r="ES81" s="679"/>
      <c r="ET81" s="678"/>
      <c r="EU81" s="677"/>
      <c r="EV81" s="677"/>
      <c r="EW81" s="677"/>
      <c r="EX81" s="679"/>
      <c r="EY81" s="678"/>
      <c r="EZ81" s="677"/>
      <c r="FA81" s="677"/>
      <c r="FB81" s="677"/>
      <c r="FC81" s="679"/>
      <c r="FD81" s="678"/>
      <c r="FE81" s="677"/>
      <c r="FF81" s="677"/>
      <c r="FG81" s="677"/>
      <c r="FH81" s="679"/>
    </row>
    <row r="82" spans="2:164" ht="14.25" thickBot="1">
      <c r="B82" s="708" t="s">
        <v>1395</v>
      </c>
      <c r="C82" s="708"/>
      <c r="D82" s="708"/>
      <c r="E82" s="709"/>
      <c r="F82" s="682"/>
      <c r="G82" s="682">
        <f>'[1]基本 (1)'!D231</f>
        <v>162</v>
      </c>
      <c r="H82" s="661" t="s">
        <v>1393</v>
      </c>
      <c r="I82" s="662" t="s">
        <v>1393</v>
      </c>
      <c r="J82" s="686"/>
      <c r="K82" s="664"/>
      <c r="L82" s="299"/>
      <c r="M82" s="299"/>
      <c r="N82" s="299"/>
      <c r="O82" s="665"/>
      <c r="P82" s="299"/>
      <c r="Q82" s="299"/>
      <c r="R82" s="299"/>
      <c r="S82" s="666"/>
      <c r="T82" s="665"/>
      <c r="U82" s="299"/>
      <c r="V82" s="299"/>
      <c r="W82" s="299"/>
      <c r="X82" s="666"/>
      <c r="Y82" s="665"/>
      <c r="Z82" s="299"/>
      <c r="AA82" s="299"/>
      <c r="AB82" s="299"/>
      <c r="AC82" s="666"/>
      <c r="AD82" s="665"/>
      <c r="AE82" s="299"/>
      <c r="AF82" s="299"/>
      <c r="AG82" s="299"/>
      <c r="AH82" s="666"/>
      <c r="AI82" s="665"/>
      <c r="AJ82" s="299"/>
      <c r="AK82" s="299"/>
      <c r="AL82" s="299"/>
      <c r="AM82" s="666"/>
      <c r="AN82" s="665"/>
      <c r="AO82" s="299"/>
      <c r="AP82" s="299"/>
      <c r="AQ82" s="299"/>
      <c r="AR82" s="666"/>
      <c r="AS82" s="665"/>
      <c r="AT82" s="299"/>
      <c r="AU82" s="299"/>
      <c r="AV82" s="299"/>
      <c r="AW82" s="666"/>
      <c r="AX82" s="665"/>
      <c r="AY82" s="299"/>
      <c r="AZ82" s="299"/>
      <c r="BA82" s="299"/>
      <c r="BB82" s="666"/>
      <c r="BC82" s="665"/>
      <c r="BD82" s="299"/>
      <c r="BE82" s="691"/>
      <c r="BF82" s="691"/>
      <c r="BG82" s="692"/>
      <c r="BH82" s="693"/>
      <c r="BI82" s="691"/>
      <c r="BJ82" s="691"/>
      <c r="BK82" s="691"/>
      <c r="BL82" s="692"/>
      <c r="BM82" s="693"/>
      <c r="BN82" s="691"/>
      <c r="BO82" s="691"/>
      <c r="BP82" s="691"/>
      <c r="BQ82" s="692"/>
      <c r="BR82" s="693"/>
      <c r="BS82" s="691"/>
      <c r="BT82" s="691"/>
      <c r="BU82" s="691"/>
      <c r="BV82" s="692"/>
      <c r="BW82" s="693"/>
      <c r="BX82" s="691"/>
      <c r="BY82" s="691"/>
      <c r="BZ82" s="691"/>
      <c r="CA82" s="692"/>
      <c r="CB82" s="693"/>
      <c r="CC82" s="691"/>
      <c r="CD82" s="691"/>
      <c r="CE82" s="691"/>
      <c r="CF82" s="692"/>
      <c r="CG82" s="693"/>
      <c r="CH82" s="691"/>
      <c r="CI82" s="691"/>
      <c r="CJ82" s="691"/>
      <c r="CK82" s="692"/>
      <c r="CL82" s="693"/>
      <c r="CM82" s="691"/>
      <c r="CN82" s="691"/>
      <c r="CO82" s="691"/>
      <c r="CP82" s="692"/>
      <c r="CQ82" s="693"/>
      <c r="CR82" s="691"/>
      <c r="CS82" s="691"/>
      <c r="CT82" s="691"/>
      <c r="CU82" s="692"/>
      <c r="CV82" s="693"/>
      <c r="CW82" s="691"/>
      <c r="CX82" s="691"/>
      <c r="CY82" s="691"/>
      <c r="CZ82" s="692"/>
      <c r="DA82" s="693"/>
      <c r="DB82" s="691"/>
      <c r="DC82" s="691"/>
      <c r="DD82" s="691"/>
      <c r="DE82" s="692"/>
      <c r="DF82" s="693"/>
      <c r="DG82" s="691"/>
      <c r="DH82" s="691"/>
      <c r="DI82" s="691"/>
      <c r="DJ82" s="692"/>
      <c r="DK82" s="693"/>
      <c r="DL82" s="691"/>
      <c r="DM82" s="691"/>
      <c r="DN82" s="691"/>
      <c r="DO82" s="692"/>
      <c r="DP82" s="693"/>
      <c r="DQ82" s="691"/>
      <c r="DR82" s="691"/>
      <c r="DS82" s="691"/>
      <c r="DT82" s="692"/>
      <c r="DU82" s="693"/>
      <c r="DV82" s="691"/>
      <c r="DW82" s="691"/>
      <c r="DX82" s="691"/>
      <c r="DY82" s="692"/>
      <c r="DZ82" s="693"/>
      <c r="EA82" s="691"/>
      <c r="EB82" s="691"/>
      <c r="EC82" s="691"/>
      <c r="ED82" s="692"/>
      <c r="EE82" s="693"/>
      <c r="EF82" s="691"/>
      <c r="EG82" s="299"/>
      <c r="EH82" s="299"/>
      <c r="EI82" s="666"/>
      <c r="EJ82" s="665"/>
      <c r="EK82" s="299"/>
      <c r="EL82" s="299"/>
      <c r="EM82" s="299"/>
      <c r="EN82" s="666"/>
      <c r="EO82" s="665"/>
      <c r="EP82" s="299"/>
      <c r="EQ82" s="299"/>
      <c r="ER82" s="299"/>
      <c r="ES82" s="666"/>
      <c r="ET82" s="665"/>
      <c r="EU82" s="299"/>
      <c r="EV82" s="299"/>
      <c r="EW82" s="299"/>
      <c r="EX82" s="666"/>
      <c r="EY82" s="665"/>
      <c r="EZ82" s="299"/>
      <c r="FA82" s="299"/>
      <c r="FB82" s="299"/>
      <c r="FC82" s="666"/>
      <c r="FD82" s="665"/>
      <c r="FE82" s="299"/>
      <c r="FF82" s="299"/>
      <c r="FG82" s="299"/>
      <c r="FH82" s="666"/>
    </row>
    <row r="83" spans="2:164">
      <c r="B83" s="714"/>
      <c r="C83" s="714"/>
      <c r="D83" s="714"/>
      <c r="E83" s="715"/>
      <c r="F83" s="672"/>
      <c r="G83" s="672"/>
      <c r="H83" s="673"/>
      <c r="I83" s="674"/>
      <c r="J83" s="675"/>
      <c r="K83" s="664"/>
      <c r="L83" s="299"/>
      <c r="M83" s="299"/>
      <c r="N83" s="299"/>
      <c r="O83" s="665"/>
      <c r="P83" s="299"/>
      <c r="Q83" s="299"/>
      <c r="R83" s="299"/>
      <c r="S83" s="666"/>
      <c r="T83" s="665"/>
      <c r="U83" s="299"/>
      <c r="V83" s="299"/>
      <c r="W83" s="299"/>
      <c r="X83" s="666"/>
      <c r="Y83" s="665"/>
      <c r="Z83" s="299"/>
      <c r="AA83" s="299"/>
      <c r="AB83" s="299"/>
      <c r="AC83" s="666"/>
      <c r="AD83" s="665"/>
      <c r="AE83" s="299"/>
      <c r="AF83" s="299"/>
      <c r="AG83" s="299"/>
      <c r="AH83" s="666"/>
      <c r="AI83" s="665"/>
      <c r="AJ83" s="299"/>
      <c r="AK83" s="299"/>
      <c r="AL83" s="299"/>
      <c r="AM83" s="666"/>
      <c r="AN83" s="665"/>
      <c r="AO83" s="299"/>
      <c r="AP83" s="299"/>
      <c r="AQ83" s="299"/>
      <c r="AR83" s="666"/>
      <c r="AS83" s="665"/>
      <c r="AT83" s="299"/>
      <c r="AU83" s="299"/>
      <c r="AV83" s="299"/>
      <c r="AW83" s="666"/>
      <c r="AX83" s="665"/>
      <c r="AY83" s="299"/>
      <c r="AZ83" s="299"/>
      <c r="BA83" s="299"/>
      <c r="BB83" s="666"/>
      <c r="BC83" s="665"/>
      <c r="BD83" s="299"/>
      <c r="BE83" s="299"/>
      <c r="BF83" s="299"/>
      <c r="BG83" s="666"/>
      <c r="BH83" s="665"/>
      <c r="BI83" s="299"/>
      <c r="BJ83" s="299"/>
      <c r="BK83" s="299"/>
      <c r="BL83" s="666"/>
      <c r="BM83" s="665"/>
      <c r="BN83" s="299"/>
      <c r="BO83" s="299"/>
      <c r="BP83" s="299"/>
      <c r="BQ83" s="666"/>
      <c r="BR83" s="665"/>
      <c r="BS83" s="299"/>
      <c r="BT83" s="299"/>
      <c r="BU83" s="299"/>
      <c r="BV83" s="666"/>
      <c r="BW83" s="665"/>
      <c r="BX83" s="299"/>
      <c r="BY83" s="299"/>
      <c r="BZ83" s="299"/>
      <c r="CA83" s="666"/>
      <c r="CB83" s="665"/>
      <c r="CC83" s="299"/>
      <c r="CD83" s="299"/>
      <c r="CE83" s="299"/>
      <c r="CF83" s="666"/>
      <c r="CG83" s="665"/>
      <c r="CH83" s="299"/>
      <c r="CI83" s="299"/>
      <c r="CJ83" s="299"/>
      <c r="CK83" s="666"/>
      <c r="CL83" s="665"/>
      <c r="CM83" s="299"/>
      <c r="CN83" s="299"/>
      <c r="CO83" s="299"/>
      <c r="CP83" s="666"/>
      <c r="CQ83" s="665"/>
      <c r="CR83" s="299"/>
      <c r="CS83" s="299"/>
      <c r="CT83" s="299"/>
      <c r="CU83" s="666"/>
      <c r="CV83" s="665"/>
      <c r="CW83" s="299"/>
      <c r="CX83" s="299"/>
      <c r="CY83" s="299"/>
      <c r="CZ83" s="666"/>
      <c r="DA83" s="665"/>
      <c r="DB83" s="299"/>
      <c r="DC83" s="299"/>
      <c r="DD83" s="299"/>
      <c r="DE83" s="666"/>
      <c r="DF83" s="665"/>
      <c r="DG83" s="299"/>
      <c r="DH83" s="299"/>
      <c r="DI83" s="299"/>
      <c r="DJ83" s="666"/>
      <c r="DK83" s="665"/>
      <c r="DL83" s="299"/>
      <c r="DM83" s="299"/>
      <c r="DN83" s="299"/>
      <c r="DO83" s="666"/>
      <c r="DP83" s="665"/>
      <c r="DQ83" s="299"/>
      <c r="DR83" s="299"/>
      <c r="DS83" s="299"/>
      <c r="DT83" s="666"/>
      <c r="DU83" s="665"/>
      <c r="DV83" s="299"/>
      <c r="DW83" s="299"/>
      <c r="DX83" s="299"/>
      <c r="DY83" s="666"/>
      <c r="DZ83" s="665"/>
      <c r="EA83" s="299"/>
      <c r="EB83" s="299"/>
      <c r="EC83" s="299"/>
      <c r="ED83" s="666"/>
      <c r="EE83" s="665"/>
      <c r="EF83" s="299"/>
      <c r="EG83" s="299"/>
      <c r="EH83" s="299"/>
      <c r="EI83" s="666"/>
      <c r="EJ83" s="665"/>
      <c r="EK83" s="299"/>
      <c r="EL83" s="299"/>
      <c r="EM83" s="299"/>
      <c r="EN83" s="666"/>
      <c r="EO83" s="665"/>
      <c r="EP83" s="299"/>
      <c r="EQ83" s="299"/>
      <c r="ER83" s="299"/>
      <c r="ES83" s="666"/>
      <c r="ET83" s="665"/>
      <c r="EU83" s="299"/>
      <c r="EV83" s="299"/>
      <c r="EW83" s="299"/>
      <c r="EX83" s="666"/>
      <c r="EY83" s="665"/>
      <c r="EZ83" s="299"/>
      <c r="FA83" s="299"/>
      <c r="FB83" s="299"/>
      <c r="FC83" s="666"/>
      <c r="FD83" s="665"/>
      <c r="FE83" s="299"/>
      <c r="FF83" s="299"/>
      <c r="FG83" s="299"/>
      <c r="FH83" s="666"/>
    </row>
    <row r="84" spans="2:164" ht="14.25" thickBot="1">
      <c r="B84" s="716" t="s">
        <v>1396</v>
      </c>
      <c r="C84" s="716"/>
      <c r="D84" s="716"/>
      <c r="E84" s="717"/>
      <c r="F84" s="660"/>
      <c r="G84" s="660">
        <f>'[1]基本 (1)'!D241</f>
        <v>194</v>
      </c>
      <c r="H84" s="684" t="s">
        <v>1370</v>
      </c>
      <c r="I84" s="685" t="s">
        <v>1370</v>
      </c>
      <c r="J84" s="686"/>
      <c r="K84" s="687"/>
      <c r="L84" s="688"/>
      <c r="M84" s="688"/>
      <c r="N84" s="688"/>
      <c r="O84" s="689"/>
      <c r="P84" s="688"/>
      <c r="Q84" s="688"/>
      <c r="R84" s="688"/>
      <c r="S84" s="690"/>
      <c r="T84" s="689"/>
      <c r="U84" s="688"/>
      <c r="V84" s="688"/>
      <c r="W84" s="688"/>
      <c r="X84" s="690"/>
      <c r="Y84" s="689"/>
      <c r="Z84" s="688"/>
      <c r="AA84" s="688"/>
      <c r="AB84" s="688"/>
      <c r="AC84" s="690"/>
      <c r="AD84" s="689"/>
      <c r="AE84" s="688"/>
      <c r="AF84" s="688"/>
      <c r="AG84" s="688"/>
      <c r="AH84" s="690"/>
      <c r="AI84" s="689"/>
      <c r="AJ84" s="688"/>
      <c r="AK84" s="688"/>
      <c r="AL84" s="688"/>
      <c r="AM84" s="690"/>
      <c r="AN84" s="689"/>
      <c r="AO84" s="688"/>
      <c r="AP84" s="688"/>
      <c r="AQ84" s="688"/>
      <c r="AR84" s="690"/>
      <c r="AS84" s="689"/>
      <c r="AT84" s="691"/>
      <c r="AU84" s="691"/>
      <c r="AV84" s="691"/>
      <c r="AW84" s="692"/>
      <c r="AX84" s="693"/>
      <c r="AY84" s="691"/>
      <c r="AZ84" s="691"/>
      <c r="BA84" s="691"/>
      <c r="BB84" s="692"/>
      <c r="BC84" s="693"/>
      <c r="BD84" s="691"/>
      <c r="BE84" s="691"/>
      <c r="BF84" s="691"/>
      <c r="BG84" s="692"/>
      <c r="BH84" s="693"/>
      <c r="BI84" s="691"/>
      <c r="BJ84" s="691"/>
      <c r="BK84" s="691"/>
      <c r="BL84" s="692"/>
      <c r="BM84" s="693"/>
      <c r="BN84" s="691"/>
      <c r="BO84" s="691"/>
      <c r="BP84" s="691"/>
      <c r="BQ84" s="692"/>
      <c r="BR84" s="693"/>
      <c r="BS84" s="691"/>
      <c r="BT84" s="691"/>
      <c r="BU84" s="691"/>
      <c r="BV84" s="692"/>
      <c r="BW84" s="693"/>
      <c r="BX84" s="691"/>
      <c r="BY84" s="691"/>
      <c r="BZ84" s="691"/>
      <c r="CA84" s="692"/>
      <c r="CB84" s="693"/>
      <c r="CC84" s="691"/>
      <c r="CD84" s="691"/>
      <c r="CE84" s="691"/>
      <c r="CF84" s="692"/>
      <c r="CG84" s="693"/>
      <c r="CH84" s="691"/>
      <c r="CI84" s="691"/>
      <c r="CJ84" s="691"/>
      <c r="CK84" s="692"/>
      <c r="CL84" s="693"/>
      <c r="CM84" s="691"/>
      <c r="CN84" s="691"/>
      <c r="CO84" s="691"/>
      <c r="CP84" s="692"/>
      <c r="CQ84" s="693"/>
      <c r="CR84" s="691"/>
      <c r="CS84" s="691"/>
      <c r="CT84" s="691"/>
      <c r="CU84" s="692"/>
      <c r="CV84" s="693"/>
      <c r="CW84" s="691"/>
      <c r="CX84" s="691"/>
      <c r="CY84" s="691"/>
      <c r="CZ84" s="692"/>
      <c r="DA84" s="693"/>
      <c r="DB84" s="691"/>
      <c r="DC84" s="691"/>
      <c r="DD84" s="691"/>
      <c r="DE84" s="692"/>
      <c r="DF84" s="693"/>
      <c r="DG84" s="691"/>
      <c r="DH84" s="691"/>
      <c r="DI84" s="691"/>
      <c r="DJ84" s="692"/>
      <c r="DK84" s="693"/>
      <c r="DL84" s="691"/>
      <c r="DM84" s="691"/>
      <c r="DN84" s="691"/>
      <c r="DO84" s="692"/>
      <c r="DP84" s="693"/>
      <c r="DQ84" s="691"/>
      <c r="DR84" s="691"/>
      <c r="DS84" s="691"/>
      <c r="DT84" s="692"/>
      <c r="DU84" s="693"/>
      <c r="DV84" s="691"/>
      <c r="DW84" s="691"/>
      <c r="DX84" s="691"/>
      <c r="DY84" s="692"/>
      <c r="DZ84" s="693"/>
      <c r="EA84" s="688"/>
      <c r="EB84" s="688"/>
      <c r="EC84" s="688"/>
      <c r="ED84" s="690"/>
      <c r="EE84" s="689"/>
      <c r="EF84" s="688"/>
      <c r="EG84" s="688"/>
      <c r="EH84" s="688"/>
      <c r="EI84" s="690"/>
      <c r="EJ84" s="689"/>
      <c r="EK84" s="688"/>
      <c r="EL84" s="688"/>
      <c r="EM84" s="688"/>
      <c r="EN84" s="690"/>
      <c r="EO84" s="689"/>
      <c r="EP84" s="688"/>
      <c r="EQ84" s="688"/>
      <c r="ER84" s="688"/>
      <c r="ES84" s="690"/>
      <c r="ET84" s="689"/>
      <c r="EU84" s="688"/>
      <c r="EV84" s="688"/>
      <c r="EW84" s="688"/>
      <c r="EX84" s="690"/>
      <c r="EY84" s="689"/>
      <c r="EZ84" s="688"/>
      <c r="FA84" s="688"/>
      <c r="FB84" s="688"/>
      <c r="FC84" s="690"/>
      <c r="FD84" s="689"/>
      <c r="FE84" s="688"/>
      <c r="FF84" s="688"/>
      <c r="FG84" s="688"/>
      <c r="FH84" s="690"/>
    </row>
    <row r="85" spans="2:164">
      <c r="B85" s="714"/>
      <c r="C85" s="714"/>
      <c r="D85" s="714"/>
      <c r="E85" s="715"/>
      <c r="F85" s="672"/>
      <c r="G85" s="672"/>
      <c r="H85" s="673"/>
      <c r="I85" s="674"/>
      <c r="J85" s="675"/>
      <c r="K85" s="676"/>
      <c r="L85" s="677"/>
      <c r="M85" s="677"/>
      <c r="N85" s="677"/>
      <c r="O85" s="678"/>
      <c r="P85" s="677"/>
      <c r="Q85" s="677"/>
      <c r="R85" s="677"/>
      <c r="S85" s="679"/>
      <c r="T85" s="678"/>
      <c r="U85" s="677"/>
      <c r="V85" s="677"/>
      <c r="W85" s="677"/>
      <c r="X85" s="679"/>
      <c r="Y85" s="678"/>
      <c r="Z85" s="677"/>
      <c r="AA85" s="677"/>
      <c r="AB85" s="677"/>
      <c r="AC85" s="679"/>
      <c r="AD85" s="678"/>
      <c r="AE85" s="677"/>
      <c r="AF85" s="677"/>
      <c r="AG85" s="677"/>
      <c r="AH85" s="679"/>
      <c r="AI85" s="678"/>
      <c r="AJ85" s="677"/>
      <c r="AK85" s="677"/>
      <c r="AL85" s="677"/>
      <c r="AM85" s="679"/>
      <c r="AN85" s="678"/>
      <c r="AO85" s="677"/>
      <c r="AP85" s="677"/>
      <c r="AQ85" s="677"/>
      <c r="AR85" s="679"/>
      <c r="AS85" s="678"/>
      <c r="AT85" s="677"/>
      <c r="AU85" s="677"/>
      <c r="AV85" s="677"/>
      <c r="AW85" s="679"/>
      <c r="AX85" s="678"/>
      <c r="AY85" s="677"/>
      <c r="AZ85" s="677"/>
      <c r="BA85" s="677"/>
      <c r="BB85" s="679"/>
      <c r="BC85" s="678"/>
      <c r="BD85" s="677"/>
      <c r="BE85" s="677"/>
      <c r="BF85" s="677"/>
      <c r="BG85" s="679"/>
      <c r="BH85" s="678"/>
      <c r="BI85" s="677"/>
      <c r="BJ85" s="677"/>
      <c r="BK85" s="677"/>
      <c r="BL85" s="679"/>
      <c r="BM85" s="678"/>
      <c r="BN85" s="677"/>
      <c r="BO85" s="677"/>
      <c r="BP85" s="677"/>
      <c r="BQ85" s="679"/>
      <c r="BR85" s="678"/>
      <c r="BS85" s="677"/>
      <c r="BT85" s="677"/>
      <c r="BU85" s="677"/>
      <c r="BV85" s="679"/>
      <c r="BW85" s="678"/>
      <c r="BX85" s="677"/>
      <c r="BY85" s="677"/>
      <c r="BZ85" s="677"/>
      <c r="CA85" s="679"/>
      <c r="CB85" s="678"/>
      <c r="CC85" s="677"/>
      <c r="CD85" s="677"/>
      <c r="CE85" s="677"/>
      <c r="CF85" s="679"/>
      <c r="CG85" s="678"/>
      <c r="CH85" s="677"/>
      <c r="CI85" s="677"/>
      <c r="CJ85" s="677"/>
      <c r="CK85" s="679"/>
      <c r="CL85" s="678"/>
      <c r="CM85" s="677"/>
      <c r="CN85" s="677"/>
      <c r="CO85" s="677"/>
      <c r="CP85" s="679"/>
      <c r="CQ85" s="678"/>
      <c r="CR85" s="677"/>
      <c r="CS85" s="677"/>
      <c r="CT85" s="677"/>
      <c r="CU85" s="679"/>
      <c r="CV85" s="678"/>
      <c r="CW85" s="677"/>
      <c r="CX85" s="677"/>
      <c r="CY85" s="677"/>
      <c r="CZ85" s="679"/>
      <c r="DA85" s="678"/>
      <c r="DB85" s="677"/>
      <c r="DC85" s="677"/>
      <c r="DD85" s="677"/>
      <c r="DE85" s="679"/>
      <c r="DF85" s="678"/>
      <c r="DG85" s="677"/>
      <c r="DH85" s="677"/>
      <c r="DI85" s="677"/>
      <c r="DJ85" s="679"/>
      <c r="DK85" s="678"/>
      <c r="DL85" s="677"/>
      <c r="DM85" s="677"/>
      <c r="DN85" s="677"/>
      <c r="DO85" s="679"/>
      <c r="DP85" s="678"/>
      <c r="DQ85" s="677"/>
      <c r="DR85" s="677"/>
      <c r="DS85" s="677"/>
      <c r="DT85" s="679"/>
      <c r="DU85" s="678"/>
      <c r="DV85" s="677"/>
      <c r="DW85" s="677"/>
      <c r="DX85" s="677"/>
      <c r="DY85" s="679"/>
      <c r="DZ85" s="678"/>
      <c r="EA85" s="677"/>
      <c r="EB85" s="677"/>
      <c r="EC85" s="677"/>
      <c r="ED85" s="679"/>
      <c r="EE85" s="678"/>
      <c r="EF85" s="677"/>
      <c r="EG85" s="677"/>
      <c r="EH85" s="677"/>
      <c r="EI85" s="679"/>
      <c r="EJ85" s="678"/>
      <c r="EK85" s="677"/>
      <c r="EL85" s="677"/>
      <c r="EM85" s="677"/>
      <c r="EN85" s="679"/>
      <c r="EO85" s="678"/>
      <c r="EP85" s="677"/>
      <c r="EQ85" s="677"/>
      <c r="ER85" s="677"/>
      <c r="ES85" s="679"/>
      <c r="ET85" s="678"/>
      <c r="EU85" s="677"/>
      <c r="EV85" s="677"/>
      <c r="EW85" s="677"/>
      <c r="EX85" s="679"/>
      <c r="EY85" s="678"/>
      <c r="EZ85" s="677"/>
      <c r="FA85" s="677"/>
      <c r="FB85" s="677"/>
      <c r="FC85" s="679"/>
      <c r="FD85" s="678"/>
      <c r="FE85" s="677"/>
      <c r="FF85" s="677"/>
      <c r="FG85" s="677"/>
      <c r="FH85" s="679"/>
    </row>
    <row r="86" spans="2:164" ht="14.25" thickBot="1">
      <c r="B86" s="716" t="s">
        <v>1397</v>
      </c>
      <c r="C86" s="716"/>
      <c r="D86" s="716"/>
      <c r="E86" s="717"/>
      <c r="F86" s="660"/>
      <c r="G86" s="718" t="str">
        <f>'[1]基本 (1)'!D253&amp;"月"</f>
        <v>10月</v>
      </c>
      <c r="H86" s="684" t="s">
        <v>1370</v>
      </c>
      <c r="I86" s="685" t="s">
        <v>1370</v>
      </c>
      <c r="J86" s="663"/>
      <c r="K86" s="698"/>
      <c r="L86" s="691"/>
      <c r="M86" s="691"/>
      <c r="N86" s="691"/>
      <c r="O86" s="693"/>
      <c r="P86" s="691"/>
      <c r="Q86" s="691"/>
      <c r="R86" s="691"/>
      <c r="S86" s="692"/>
      <c r="T86" s="693"/>
      <c r="U86" s="691"/>
      <c r="V86" s="691"/>
      <c r="W86" s="691"/>
      <c r="X86" s="692"/>
      <c r="Y86" s="693"/>
      <c r="Z86" s="691"/>
      <c r="AA86" s="691"/>
      <c r="AB86" s="691"/>
      <c r="AC86" s="692"/>
      <c r="AD86" s="693"/>
      <c r="AE86" s="691"/>
      <c r="AF86" s="691"/>
      <c r="AG86" s="691"/>
      <c r="AH86" s="692"/>
      <c r="AI86" s="693"/>
      <c r="AJ86" s="691"/>
      <c r="AK86" s="691"/>
      <c r="AL86" s="691"/>
      <c r="AM86" s="692"/>
      <c r="AN86" s="693"/>
      <c r="AO86" s="691"/>
      <c r="AP86" s="691"/>
      <c r="AQ86" s="691"/>
      <c r="AR86" s="692"/>
      <c r="AS86" s="693"/>
      <c r="AT86" s="691"/>
      <c r="AU86" s="691"/>
      <c r="AV86" s="691"/>
      <c r="AW86" s="692"/>
      <c r="AX86" s="693"/>
      <c r="AY86" s="691"/>
      <c r="AZ86" s="691"/>
      <c r="BA86" s="691"/>
      <c r="BB86" s="692"/>
      <c r="BC86" s="693"/>
      <c r="BD86" s="691"/>
      <c r="BE86" s="691"/>
      <c r="BF86" s="691"/>
      <c r="BG86" s="692"/>
      <c r="BH86" s="693"/>
      <c r="BI86" s="691"/>
      <c r="BJ86" s="691"/>
      <c r="BK86" s="691"/>
      <c r="BL86" s="692"/>
      <c r="BM86" s="693"/>
      <c r="BN86" s="691"/>
      <c r="BO86" s="691"/>
      <c r="BP86" s="691"/>
      <c r="BQ86" s="692"/>
      <c r="BR86" s="693"/>
      <c r="BS86" s="691"/>
      <c r="BT86" s="691"/>
      <c r="BU86" s="691"/>
      <c r="BV86" s="692"/>
      <c r="BW86" s="693"/>
      <c r="BX86" s="691"/>
      <c r="BY86" s="691"/>
      <c r="BZ86" s="691"/>
      <c r="CA86" s="692"/>
      <c r="CB86" s="693"/>
      <c r="CC86" s="691"/>
      <c r="CD86" s="691"/>
      <c r="CE86" s="691"/>
      <c r="CF86" s="692"/>
      <c r="CG86" s="693"/>
      <c r="CH86" s="691"/>
      <c r="CI86" s="691"/>
      <c r="CJ86" s="691"/>
      <c r="CK86" s="692"/>
      <c r="CL86" s="693"/>
      <c r="CM86" s="691"/>
      <c r="CN86" s="691"/>
      <c r="CO86" s="691"/>
      <c r="CP86" s="692"/>
      <c r="CQ86" s="693"/>
      <c r="CR86" s="691"/>
      <c r="CS86" s="691"/>
      <c r="CT86" s="691"/>
      <c r="CU86" s="692"/>
      <c r="CV86" s="693"/>
      <c r="CW86" s="691"/>
      <c r="CX86" s="691"/>
      <c r="CY86" s="691"/>
      <c r="CZ86" s="692"/>
      <c r="DA86" s="693"/>
      <c r="DB86" s="691"/>
      <c r="DC86" s="691"/>
      <c r="DD86" s="691"/>
      <c r="DE86" s="692"/>
      <c r="DF86" s="693"/>
      <c r="DG86" s="691"/>
      <c r="DH86" s="691"/>
      <c r="DI86" s="691"/>
      <c r="DJ86" s="692"/>
      <c r="DK86" s="693"/>
      <c r="DL86" s="691"/>
      <c r="DM86" s="691"/>
      <c r="DN86" s="691"/>
      <c r="DO86" s="692"/>
      <c r="DP86" s="693"/>
      <c r="DQ86" s="691"/>
      <c r="DR86" s="691"/>
      <c r="DS86" s="691"/>
      <c r="DT86" s="692"/>
      <c r="DU86" s="693"/>
      <c r="DV86" s="691"/>
      <c r="DW86" s="691"/>
      <c r="DX86" s="691"/>
      <c r="DY86" s="692"/>
      <c r="DZ86" s="693"/>
      <c r="EA86" s="691"/>
      <c r="EB86" s="691"/>
      <c r="EC86" s="691"/>
      <c r="ED86" s="692"/>
      <c r="EE86" s="693"/>
      <c r="EF86" s="691"/>
      <c r="EG86" s="691"/>
      <c r="EH86" s="691"/>
      <c r="EI86" s="692"/>
      <c r="EJ86" s="693"/>
      <c r="EK86" s="691"/>
      <c r="EL86" s="691"/>
      <c r="EM86" s="691"/>
      <c r="EN86" s="692"/>
      <c r="EO86" s="693"/>
      <c r="EP86" s="691"/>
      <c r="EQ86" s="691"/>
      <c r="ER86" s="691"/>
      <c r="ES86" s="692"/>
      <c r="ET86" s="693"/>
      <c r="EU86" s="691"/>
      <c r="EV86" s="691"/>
      <c r="EW86" s="691"/>
      <c r="EX86" s="692"/>
      <c r="EY86" s="693"/>
      <c r="EZ86" s="691"/>
      <c r="FA86" s="691"/>
      <c r="FB86" s="691"/>
      <c r="FC86" s="692"/>
      <c r="FD86" s="693"/>
      <c r="FE86" s="299"/>
      <c r="FF86" s="299"/>
      <c r="FG86" s="299"/>
      <c r="FH86" s="666"/>
    </row>
    <row r="87" spans="2:164">
      <c r="B87" s="714"/>
      <c r="C87" s="714"/>
      <c r="D87" s="714"/>
      <c r="E87" s="715"/>
      <c r="F87" s="672"/>
      <c r="G87" s="672"/>
      <c r="H87" s="673"/>
      <c r="I87" s="674"/>
      <c r="J87" s="675"/>
      <c r="K87" s="676"/>
      <c r="L87" s="677"/>
      <c r="M87" s="677"/>
      <c r="N87" s="677"/>
      <c r="O87" s="678"/>
      <c r="P87" s="677"/>
      <c r="Q87" s="677"/>
      <c r="R87" s="677"/>
      <c r="S87" s="679"/>
      <c r="T87" s="678"/>
      <c r="U87" s="677"/>
      <c r="V87" s="677"/>
      <c r="W87" s="677"/>
      <c r="X87" s="679"/>
      <c r="Y87" s="678"/>
      <c r="Z87" s="677"/>
      <c r="AA87" s="677"/>
      <c r="AB87" s="677"/>
      <c r="AC87" s="679"/>
      <c r="AD87" s="678"/>
      <c r="AE87" s="677"/>
      <c r="AF87" s="677"/>
      <c r="AG87" s="677"/>
      <c r="AH87" s="679"/>
      <c r="AI87" s="678"/>
      <c r="AJ87" s="677"/>
      <c r="AK87" s="677"/>
      <c r="AL87" s="677"/>
      <c r="AM87" s="679"/>
      <c r="AN87" s="678"/>
      <c r="AO87" s="677"/>
      <c r="AP87" s="677"/>
      <c r="AQ87" s="677"/>
      <c r="AR87" s="679"/>
      <c r="AS87" s="678"/>
      <c r="AT87" s="677"/>
      <c r="AU87" s="677"/>
      <c r="AV87" s="677"/>
      <c r="AW87" s="679"/>
      <c r="AX87" s="678"/>
      <c r="AY87" s="677"/>
      <c r="AZ87" s="677"/>
      <c r="BA87" s="677"/>
      <c r="BB87" s="679"/>
      <c r="BC87" s="678"/>
      <c r="BD87" s="677"/>
      <c r="BE87" s="677"/>
      <c r="BF87" s="677"/>
      <c r="BG87" s="679"/>
      <c r="BH87" s="678"/>
      <c r="BI87" s="677"/>
      <c r="BJ87" s="677"/>
      <c r="BK87" s="677"/>
      <c r="BL87" s="679"/>
      <c r="BM87" s="678"/>
      <c r="BN87" s="677"/>
      <c r="BO87" s="677"/>
      <c r="BP87" s="677"/>
      <c r="BQ87" s="679"/>
      <c r="BR87" s="678"/>
      <c r="BS87" s="677"/>
      <c r="BT87" s="677"/>
      <c r="BU87" s="677"/>
      <c r="BV87" s="679"/>
      <c r="BW87" s="678"/>
      <c r="BX87" s="677"/>
      <c r="BY87" s="677"/>
      <c r="BZ87" s="677"/>
      <c r="CA87" s="679"/>
      <c r="CB87" s="678"/>
      <c r="CC87" s="677"/>
      <c r="CD87" s="677"/>
      <c r="CE87" s="677"/>
      <c r="CF87" s="679"/>
      <c r="CG87" s="678"/>
      <c r="CH87" s="677"/>
      <c r="CI87" s="677"/>
      <c r="CJ87" s="677"/>
      <c r="CK87" s="679"/>
      <c r="CL87" s="678"/>
      <c r="CM87" s="677"/>
      <c r="CN87" s="677"/>
      <c r="CO87" s="677"/>
      <c r="CP87" s="679"/>
      <c r="CQ87" s="678"/>
      <c r="CR87" s="677"/>
      <c r="CS87" s="677"/>
      <c r="CT87" s="677"/>
      <c r="CU87" s="679"/>
      <c r="CV87" s="678"/>
      <c r="CW87" s="677"/>
      <c r="CX87" s="677"/>
      <c r="CY87" s="677"/>
      <c r="CZ87" s="679"/>
      <c r="DA87" s="678"/>
      <c r="DB87" s="677"/>
      <c r="DC87" s="677"/>
      <c r="DD87" s="677"/>
      <c r="DE87" s="679"/>
      <c r="DF87" s="678"/>
      <c r="DG87" s="677"/>
      <c r="DH87" s="677"/>
      <c r="DI87" s="677"/>
      <c r="DJ87" s="679"/>
      <c r="DK87" s="678"/>
      <c r="DL87" s="677"/>
      <c r="DM87" s="677"/>
      <c r="DN87" s="677"/>
      <c r="DO87" s="679"/>
      <c r="DP87" s="678"/>
      <c r="DQ87" s="677"/>
      <c r="DR87" s="677"/>
      <c r="DS87" s="677"/>
      <c r="DT87" s="679"/>
      <c r="DU87" s="678"/>
      <c r="DV87" s="677"/>
      <c r="DW87" s="677"/>
      <c r="DX87" s="677"/>
      <c r="DY87" s="679"/>
      <c r="DZ87" s="678"/>
      <c r="EA87" s="677"/>
      <c r="EB87" s="677"/>
      <c r="EC87" s="677"/>
      <c r="ED87" s="679"/>
      <c r="EE87" s="678"/>
      <c r="EF87" s="677"/>
      <c r="EG87" s="677"/>
      <c r="EH87" s="677"/>
      <c r="EI87" s="679"/>
      <c r="EJ87" s="678"/>
      <c r="EK87" s="677"/>
      <c r="EL87" s="677"/>
      <c r="EM87" s="677"/>
      <c r="EN87" s="679"/>
      <c r="EO87" s="678"/>
      <c r="EP87" s="677"/>
      <c r="EQ87" s="677"/>
      <c r="ER87" s="677"/>
      <c r="ES87" s="679"/>
      <c r="ET87" s="678"/>
      <c r="EU87" s="677"/>
      <c r="EV87" s="677"/>
      <c r="EW87" s="677"/>
      <c r="EX87" s="679"/>
      <c r="EY87" s="678"/>
      <c r="EZ87" s="677"/>
      <c r="FA87" s="677"/>
      <c r="FB87" s="677"/>
      <c r="FC87" s="679"/>
      <c r="FD87" s="678"/>
      <c r="FE87" s="677"/>
      <c r="FF87" s="677"/>
      <c r="FG87" s="677"/>
      <c r="FH87" s="679"/>
    </row>
    <row r="88" spans="2:164" ht="14.25" thickBot="1">
      <c r="B88" s="716" t="s">
        <v>1398</v>
      </c>
      <c r="C88" s="716"/>
      <c r="D88" s="716"/>
      <c r="E88" s="717"/>
      <c r="F88" s="660"/>
      <c r="G88" s="718" t="str">
        <f>'[1]基本 (1)'!D263&amp;"月"</f>
        <v>4.4月</v>
      </c>
      <c r="H88" s="684" t="s">
        <v>1370</v>
      </c>
      <c r="I88" s="685" t="s">
        <v>1370</v>
      </c>
      <c r="J88" s="663"/>
      <c r="K88" s="664"/>
      <c r="L88" s="299"/>
      <c r="M88" s="299"/>
      <c r="N88" s="299"/>
      <c r="O88" s="665"/>
      <c r="P88" s="299"/>
      <c r="Q88" s="299"/>
      <c r="R88" s="299"/>
      <c r="S88" s="666"/>
      <c r="T88" s="665"/>
      <c r="U88" s="299"/>
      <c r="V88" s="299"/>
      <c r="W88" s="299"/>
      <c r="X88" s="666"/>
      <c r="Y88" s="665"/>
      <c r="Z88" s="299"/>
      <c r="AA88" s="299"/>
      <c r="AB88" s="299"/>
      <c r="AC88" s="666"/>
      <c r="AD88" s="665"/>
      <c r="AE88" s="299"/>
      <c r="AF88" s="299"/>
      <c r="AG88" s="299"/>
      <c r="AH88" s="666"/>
      <c r="AI88" s="665"/>
      <c r="AJ88" s="299"/>
      <c r="AK88" s="299"/>
      <c r="AL88" s="299"/>
      <c r="AM88" s="666"/>
      <c r="AN88" s="665"/>
      <c r="AO88" s="299"/>
      <c r="AP88" s="299"/>
      <c r="AQ88" s="299"/>
      <c r="AR88" s="666"/>
      <c r="AS88" s="665"/>
      <c r="AT88" s="299"/>
      <c r="AU88" s="299"/>
      <c r="AV88" s="299"/>
      <c r="AW88" s="666"/>
      <c r="AX88" s="665"/>
      <c r="AY88" s="299"/>
      <c r="AZ88" s="299"/>
      <c r="BA88" s="299"/>
      <c r="BB88" s="666"/>
      <c r="BC88" s="665"/>
      <c r="BD88" s="299"/>
      <c r="BE88" s="299"/>
      <c r="BF88" s="299"/>
      <c r="BG88" s="666"/>
      <c r="BH88" s="665"/>
      <c r="BI88" s="299"/>
      <c r="BJ88" s="299"/>
      <c r="BK88" s="299"/>
      <c r="BL88" s="666"/>
      <c r="BM88" s="665"/>
      <c r="BN88" s="299"/>
      <c r="BO88" s="299"/>
      <c r="BP88" s="299"/>
      <c r="BQ88" s="666"/>
      <c r="BR88" s="665"/>
      <c r="BS88" s="299"/>
      <c r="BT88" s="299"/>
      <c r="BU88" s="299"/>
      <c r="BV88" s="666"/>
      <c r="BW88" s="665"/>
      <c r="BX88" s="299"/>
      <c r="BY88" s="299"/>
      <c r="BZ88" s="299"/>
      <c r="CA88" s="666"/>
      <c r="CB88" s="693"/>
      <c r="CC88" s="691"/>
      <c r="CD88" s="691"/>
      <c r="CE88" s="691"/>
      <c r="CF88" s="692"/>
      <c r="CG88" s="693"/>
      <c r="CH88" s="691"/>
      <c r="CI88" s="691"/>
      <c r="CJ88" s="691"/>
      <c r="CK88" s="692"/>
      <c r="CL88" s="693"/>
      <c r="CM88" s="691"/>
      <c r="CN88" s="691"/>
      <c r="CO88" s="691"/>
      <c r="CP88" s="692"/>
      <c r="CQ88" s="693"/>
      <c r="CR88" s="691"/>
      <c r="CS88" s="691"/>
      <c r="CT88" s="691"/>
      <c r="CU88" s="692"/>
      <c r="CV88" s="693"/>
      <c r="CW88" s="691"/>
      <c r="CX88" s="691"/>
      <c r="CY88" s="691"/>
      <c r="CZ88" s="692"/>
      <c r="DA88" s="693"/>
      <c r="DB88" s="691"/>
      <c r="DC88" s="691"/>
      <c r="DD88" s="691"/>
      <c r="DE88" s="692"/>
      <c r="DF88" s="693"/>
      <c r="DG88" s="691"/>
      <c r="DH88" s="691"/>
      <c r="DI88" s="691"/>
      <c r="DJ88" s="692"/>
      <c r="DK88" s="693"/>
      <c r="DL88" s="691"/>
      <c r="DM88" s="691"/>
      <c r="DN88" s="691"/>
      <c r="DO88" s="692"/>
      <c r="DP88" s="693"/>
      <c r="DQ88" s="691"/>
      <c r="DR88" s="691"/>
      <c r="DS88" s="691"/>
      <c r="DT88" s="692"/>
      <c r="DU88" s="693"/>
      <c r="DV88" s="691"/>
      <c r="DW88" s="691"/>
      <c r="DX88" s="691"/>
      <c r="DY88" s="692"/>
      <c r="DZ88" s="693"/>
      <c r="EA88" s="691"/>
      <c r="EB88" s="691"/>
      <c r="EC88" s="691"/>
      <c r="ED88" s="692"/>
      <c r="EE88" s="693"/>
      <c r="EF88" s="691"/>
      <c r="EG88" s="691"/>
      <c r="EH88" s="691"/>
      <c r="EI88" s="692"/>
      <c r="EJ88" s="693"/>
      <c r="EK88" s="691"/>
      <c r="EL88" s="691"/>
      <c r="EM88" s="691"/>
      <c r="EN88" s="692"/>
      <c r="EO88" s="693"/>
      <c r="EP88" s="691"/>
      <c r="EQ88" s="691"/>
      <c r="ER88" s="691"/>
      <c r="ES88" s="692"/>
      <c r="ET88" s="693"/>
      <c r="EU88" s="691"/>
      <c r="EV88" s="691"/>
      <c r="EW88" s="691"/>
      <c r="EX88" s="692"/>
      <c r="EY88" s="693"/>
      <c r="EZ88" s="691"/>
      <c r="FA88" s="691"/>
      <c r="FB88" s="691"/>
      <c r="FC88" s="692"/>
      <c r="FD88" s="693"/>
      <c r="FE88" s="299"/>
      <c r="FF88" s="299"/>
      <c r="FG88" s="299"/>
      <c r="FH88" s="666"/>
    </row>
    <row r="89" spans="2:164">
      <c r="B89" s="714"/>
      <c r="C89" s="714"/>
      <c r="D89" s="714"/>
      <c r="E89" s="715"/>
      <c r="F89" s="672"/>
      <c r="G89" s="672"/>
      <c r="H89" s="673"/>
      <c r="I89" s="674"/>
      <c r="J89" s="675"/>
      <c r="K89" s="676"/>
      <c r="L89" s="677"/>
      <c r="M89" s="677"/>
      <c r="N89" s="677"/>
      <c r="O89" s="678"/>
      <c r="P89" s="677"/>
      <c r="Q89" s="677"/>
      <c r="R89" s="677"/>
      <c r="S89" s="679"/>
      <c r="T89" s="678"/>
      <c r="U89" s="677"/>
      <c r="V89" s="677"/>
      <c r="W89" s="677"/>
      <c r="X89" s="679"/>
      <c r="Y89" s="678"/>
      <c r="Z89" s="677"/>
      <c r="AA89" s="677"/>
      <c r="AB89" s="677"/>
      <c r="AC89" s="679"/>
      <c r="AD89" s="678"/>
      <c r="AE89" s="677"/>
      <c r="AF89" s="677"/>
      <c r="AG89" s="677"/>
      <c r="AH89" s="679"/>
      <c r="AI89" s="678"/>
      <c r="AJ89" s="677"/>
      <c r="AK89" s="677"/>
      <c r="AL89" s="677"/>
      <c r="AM89" s="679"/>
      <c r="AN89" s="678"/>
      <c r="AO89" s="677"/>
      <c r="AP89" s="677"/>
      <c r="AQ89" s="677"/>
      <c r="AR89" s="679"/>
      <c r="AS89" s="678"/>
      <c r="AT89" s="677"/>
      <c r="AU89" s="677"/>
      <c r="AV89" s="677"/>
      <c r="AW89" s="679"/>
      <c r="AX89" s="678"/>
      <c r="AY89" s="677"/>
      <c r="AZ89" s="677"/>
      <c r="BA89" s="677"/>
      <c r="BB89" s="679"/>
      <c r="BC89" s="678"/>
      <c r="BD89" s="677"/>
      <c r="BE89" s="677"/>
      <c r="BF89" s="677"/>
      <c r="BG89" s="679"/>
      <c r="BH89" s="678"/>
      <c r="BI89" s="677"/>
      <c r="BJ89" s="677"/>
      <c r="BK89" s="677"/>
      <c r="BL89" s="679"/>
      <c r="BM89" s="678"/>
      <c r="BN89" s="677"/>
      <c r="BO89" s="677"/>
      <c r="BP89" s="677"/>
      <c r="BQ89" s="679"/>
      <c r="BR89" s="678"/>
      <c r="BS89" s="677"/>
      <c r="BT89" s="677"/>
      <c r="BU89" s="677"/>
      <c r="BV89" s="679"/>
      <c r="BW89" s="678"/>
      <c r="BX89" s="677"/>
      <c r="BY89" s="677"/>
      <c r="BZ89" s="677"/>
      <c r="CA89" s="679"/>
      <c r="CB89" s="678"/>
      <c r="CC89" s="677"/>
      <c r="CD89" s="677"/>
      <c r="CE89" s="677"/>
      <c r="CF89" s="679"/>
      <c r="CG89" s="678"/>
      <c r="CH89" s="677"/>
      <c r="CI89" s="677"/>
      <c r="CJ89" s="677"/>
      <c r="CK89" s="679"/>
      <c r="CL89" s="678"/>
      <c r="CM89" s="677"/>
      <c r="CN89" s="677"/>
      <c r="CO89" s="677"/>
      <c r="CP89" s="679"/>
      <c r="CQ89" s="678"/>
      <c r="CR89" s="677"/>
      <c r="CS89" s="677"/>
      <c r="CT89" s="677"/>
      <c r="CU89" s="679"/>
      <c r="CV89" s="678"/>
      <c r="CW89" s="677"/>
      <c r="CX89" s="677"/>
      <c r="CY89" s="677"/>
      <c r="CZ89" s="679"/>
      <c r="DA89" s="678"/>
      <c r="DB89" s="677"/>
      <c r="DC89" s="677"/>
      <c r="DD89" s="677"/>
      <c r="DE89" s="679"/>
      <c r="DF89" s="678"/>
      <c r="DG89" s="677"/>
      <c r="DH89" s="677"/>
      <c r="DI89" s="677"/>
      <c r="DJ89" s="679"/>
      <c r="DK89" s="678"/>
      <c r="DL89" s="677"/>
      <c r="DM89" s="677"/>
      <c r="DN89" s="677"/>
      <c r="DO89" s="679"/>
      <c r="DP89" s="678"/>
      <c r="DQ89" s="677"/>
      <c r="DR89" s="677"/>
      <c r="DS89" s="677"/>
      <c r="DT89" s="679"/>
      <c r="DU89" s="678"/>
      <c r="DV89" s="677"/>
      <c r="DW89" s="677"/>
      <c r="DX89" s="677"/>
      <c r="DY89" s="679"/>
      <c r="DZ89" s="678"/>
      <c r="EA89" s="677"/>
      <c r="EB89" s="677"/>
      <c r="EC89" s="677"/>
      <c r="ED89" s="679"/>
      <c r="EE89" s="678"/>
      <c r="EF89" s="677"/>
      <c r="EG89" s="677"/>
      <c r="EH89" s="677"/>
      <c r="EI89" s="679"/>
      <c r="EJ89" s="678"/>
      <c r="EK89" s="677"/>
      <c r="EL89" s="677"/>
      <c r="EM89" s="677"/>
      <c r="EN89" s="679"/>
      <c r="EO89" s="678"/>
      <c r="EP89" s="677"/>
      <c r="EQ89" s="677"/>
      <c r="ER89" s="677"/>
      <c r="ES89" s="679"/>
      <c r="ET89" s="678"/>
      <c r="EU89" s="677"/>
      <c r="EV89" s="677"/>
      <c r="EW89" s="677"/>
      <c r="EX89" s="679"/>
      <c r="EY89" s="678"/>
      <c r="EZ89" s="677"/>
      <c r="FA89" s="677"/>
      <c r="FB89" s="677"/>
      <c r="FC89" s="679"/>
      <c r="FD89" s="678"/>
      <c r="FE89" s="677"/>
      <c r="FF89" s="677"/>
      <c r="FG89" s="677"/>
      <c r="FH89" s="679"/>
    </row>
    <row r="90" spans="2:164" hidden="1">
      <c r="B90" s="716" t="s">
        <v>1399</v>
      </c>
      <c r="C90" s="716"/>
      <c r="D90" s="716"/>
      <c r="E90" s="717"/>
      <c r="F90" s="660"/>
      <c r="G90" s="718" t="str">
        <f>'[1]基本 (1)'!D283&amp;"月"</f>
        <v>月</v>
      </c>
      <c r="H90" s="684" t="s">
        <v>1370</v>
      </c>
      <c r="I90" s="685" t="s">
        <v>1370</v>
      </c>
      <c r="J90" s="663"/>
      <c r="K90" s="664"/>
      <c r="L90" s="299"/>
      <c r="M90" s="299"/>
      <c r="N90" s="299"/>
      <c r="O90" s="665"/>
      <c r="P90" s="299"/>
      <c r="Q90" s="299"/>
      <c r="R90" s="299"/>
      <c r="S90" s="666"/>
      <c r="T90" s="665"/>
      <c r="U90" s="299"/>
      <c r="V90" s="299"/>
      <c r="W90" s="299"/>
      <c r="X90" s="666"/>
      <c r="Y90" s="665"/>
      <c r="Z90" s="299"/>
      <c r="AA90" s="299"/>
      <c r="AB90" s="299"/>
      <c r="AC90" s="666"/>
      <c r="AD90" s="665"/>
      <c r="AE90" s="299"/>
      <c r="AF90" s="299"/>
      <c r="AG90" s="299"/>
      <c r="AH90" s="666"/>
      <c r="AI90" s="665"/>
      <c r="AJ90" s="299"/>
      <c r="AK90" s="299"/>
      <c r="AL90" s="299"/>
      <c r="AM90" s="666"/>
      <c r="AN90" s="665"/>
      <c r="AO90" s="299"/>
      <c r="AP90" s="299"/>
      <c r="AQ90" s="299"/>
      <c r="AR90" s="666"/>
      <c r="AS90" s="665"/>
      <c r="AT90" s="299"/>
      <c r="AU90" s="299"/>
      <c r="AV90" s="299"/>
      <c r="AW90" s="666"/>
      <c r="AX90" s="665"/>
      <c r="AY90" s="299"/>
      <c r="AZ90" s="299"/>
      <c r="BA90" s="299"/>
      <c r="BB90" s="666"/>
      <c r="BC90" s="665"/>
      <c r="BD90" s="299"/>
      <c r="BE90" s="299"/>
      <c r="BF90" s="299"/>
      <c r="BG90" s="666"/>
      <c r="BH90" s="665"/>
      <c r="BI90" s="299"/>
      <c r="BJ90" s="299"/>
      <c r="BK90" s="299"/>
      <c r="BL90" s="666"/>
      <c r="BM90" s="665"/>
      <c r="BN90" s="299"/>
      <c r="BO90" s="299"/>
      <c r="BP90" s="299"/>
      <c r="BQ90" s="666"/>
      <c r="BR90" s="665"/>
      <c r="BS90" s="299"/>
      <c r="BT90" s="299"/>
      <c r="BU90" s="299"/>
      <c r="BV90" s="666"/>
      <c r="BW90" s="665"/>
      <c r="BX90" s="299"/>
      <c r="BY90" s="299"/>
      <c r="BZ90" s="299"/>
      <c r="CA90" s="666"/>
      <c r="CB90" s="665"/>
      <c r="CC90" s="299"/>
      <c r="CD90" s="299"/>
      <c r="CE90" s="299"/>
      <c r="CF90" s="666"/>
      <c r="CG90" s="665"/>
      <c r="CH90" s="299"/>
      <c r="CI90" s="299"/>
      <c r="CJ90" s="299"/>
      <c r="CK90" s="666"/>
      <c r="CL90" s="665"/>
      <c r="CM90" s="299"/>
      <c r="CN90" s="299"/>
      <c r="CO90" s="299"/>
      <c r="CP90" s="666"/>
      <c r="CQ90" s="665"/>
      <c r="CR90" s="299"/>
      <c r="CS90" s="299"/>
      <c r="CT90" s="299"/>
      <c r="CU90" s="666"/>
      <c r="CV90" s="665"/>
      <c r="CW90" s="299"/>
      <c r="CX90" s="299"/>
      <c r="CY90" s="299"/>
      <c r="CZ90" s="666"/>
      <c r="DA90" s="665"/>
      <c r="DB90" s="299"/>
      <c r="DC90" s="299"/>
      <c r="DD90" s="299"/>
      <c r="DE90" s="666"/>
      <c r="DF90" s="665"/>
      <c r="DG90" s="299"/>
      <c r="DH90" s="299"/>
      <c r="DI90" s="299"/>
      <c r="DJ90" s="666"/>
      <c r="DK90" s="665"/>
      <c r="DL90" s="299"/>
      <c r="DM90" s="299"/>
      <c r="DN90" s="299"/>
      <c r="DO90" s="666"/>
      <c r="DP90" s="665"/>
      <c r="DQ90" s="299"/>
      <c r="DR90" s="299"/>
      <c r="DS90" s="299"/>
      <c r="DT90" s="666"/>
      <c r="DU90" s="665"/>
      <c r="DV90" s="299"/>
      <c r="DW90" s="299"/>
      <c r="DX90" s="299"/>
      <c r="DY90" s="666"/>
      <c r="DZ90" s="665"/>
      <c r="EA90" s="299"/>
      <c r="EB90" s="299"/>
      <c r="EC90" s="299"/>
      <c r="ED90" s="666"/>
      <c r="EE90" s="665"/>
      <c r="EF90" s="299"/>
      <c r="EG90" s="299"/>
      <c r="EH90" s="299"/>
      <c r="EI90" s="666"/>
      <c r="EJ90" s="665"/>
      <c r="EK90" s="299"/>
      <c r="EL90" s="299"/>
      <c r="EM90" s="299"/>
      <c r="EN90" s="666"/>
      <c r="EO90" s="665"/>
      <c r="EP90" s="299"/>
      <c r="EQ90" s="299"/>
      <c r="ER90" s="299"/>
      <c r="ES90" s="666"/>
      <c r="ET90" s="665"/>
      <c r="EU90" s="299"/>
      <c r="EV90" s="299"/>
      <c r="EW90" s="299"/>
      <c r="EX90" s="666"/>
      <c r="EY90" s="665"/>
      <c r="EZ90" s="299"/>
      <c r="FA90" s="299"/>
      <c r="FB90" s="299"/>
      <c r="FC90" s="666"/>
      <c r="FD90" s="665"/>
      <c r="FE90" s="299"/>
      <c r="FF90" s="299"/>
      <c r="FG90" s="299"/>
      <c r="FH90" s="666"/>
    </row>
    <row r="91" spans="2:164" hidden="1">
      <c r="B91" s="714"/>
      <c r="C91" s="714"/>
      <c r="D91" s="714"/>
      <c r="E91" s="715"/>
      <c r="F91" s="672"/>
      <c r="G91" s="672"/>
      <c r="H91" s="673"/>
      <c r="I91" s="674"/>
      <c r="J91" s="675"/>
      <c r="K91" s="676"/>
      <c r="L91" s="677"/>
      <c r="M91" s="677"/>
      <c r="N91" s="677"/>
      <c r="O91" s="678"/>
      <c r="P91" s="677"/>
      <c r="Q91" s="677"/>
      <c r="R91" s="677"/>
      <c r="S91" s="679"/>
      <c r="T91" s="678"/>
      <c r="U91" s="677"/>
      <c r="V91" s="677"/>
      <c r="W91" s="677"/>
      <c r="X91" s="679"/>
      <c r="Y91" s="678"/>
      <c r="Z91" s="677"/>
      <c r="AA91" s="677"/>
      <c r="AB91" s="677"/>
      <c r="AC91" s="679"/>
      <c r="AD91" s="678"/>
      <c r="AE91" s="677"/>
      <c r="AF91" s="677"/>
      <c r="AG91" s="677"/>
      <c r="AH91" s="679"/>
      <c r="AI91" s="678"/>
      <c r="AJ91" s="677"/>
      <c r="AK91" s="677"/>
      <c r="AL91" s="677"/>
      <c r="AM91" s="679"/>
      <c r="AN91" s="678"/>
      <c r="AO91" s="677"/>
      <c r="AP91" s="677"/>
      <c r="AQ91" s="677"/>
      <c r="AR91" s="679"/>
      <c r="AS91" s="678"/>
      <c r="AT91" s="677"/>
      <c r="AU91" s="677"/>
      <c r="AV91" s="677"/>
      <c r="AW91" s="679"/>
      <c r="AX91" s="678"/>
      <c r="AY91" s="677"/>
      <c r="AZ91" s="677"/>
      <c r="BA91" s="677"/>
      <c r="BB91" s="679"/>
      <c r="BC91" s="678"/>
      <c r="BD91" s="677"/>
      <c r="BE91" s="677"/>
      <c r="BF91" s="677"/>
      <c r="BG91" s="679"/>
      <c r="BH91" s="678"/>
      <c r="BI91" s="677"/>
      <c r="BJ91" s="677"/>
      <c r="BK91" s="677"/>
      <c r="BL91" s="679"/>
      <c r="BM91" s="678"/>
      <c r="BN91" s="677"/>
      <c r="BO91" s="677"/>
      <c r="BP91" s="677"/>
      <c r="BQ91" s="679"/>
      <c r="BR91" s="678"/>
      <c r="BS91" s="677"/>
      <c r="BT91" s="677"/>
      <c r="BU91" s="677"/>
      <c r="BV91" s="679"/>
      <c r="BW91" s="678"/>
      <c r="BX91" s="677"/>
      <c r="BY91" s="677"/>
      <c r="BZ91" s="677"/>
      <c r="CA91" s="679"/>
      <c r="CB91" s="678"/>
      <c r="CC91" s="677"/>
      <c r="CD91" s="677"/>
      <c r="CE91" s="677"/>
      <c r="CF91" s="679"/>
      <c r="CG91" s="678"/>
      <c r="CH91" s="677"/>
      <c r="CI91" s="677"/>
      <c r="CJ91" s="677"/>
      <c r="CK91" s="679"/>
      <c r="CL91" s="678"/>
      <c r="CM91" s="677"/>
      <c r="CN91" s="677"/>
      <c r="CO91" s="677"/>
      <c r="CP91" s="679"/>
      <c r="CQ91" s="678"/>
      <c r="CR91" s="677"/>
      <c r="CS91" s="677"/>
      <c r="CT91" s="677"/>
      <c r="CU91" s="679"/>
      <c r="CV91" s="678"/>
      <c r="CW91" s="677"/>
      <c r="CX91" s="677"/>
      <c r="CY91" s="677"/>
      <c r="CZ91" s="679"/>
      <c r="DA91" s="678"/>
      <c r="DB91" s="677"/>
      <c r="DC91" s="677"/>
      <c r="DD91" s="677"/>
      <c r="DE91" s="679"/>
      <c r="DF91" s="678"/>
      <c r="DG91" s="677"/>
      <c r="DH91" s="677"/>
      <c r="DI91" s="677"/>
      <c r="DJ91" s="679"/>
      <c r="DK91" s="678"/>
      <c r="DL91" s="677"/>
      <c r="DM91" s="677"/>
      <c r="DN91" s="677"/>
      <c r="DO91" s="679"/>
      <c r="DP91" s="678"/>
      <c r="DQ91" s="677"/>
      <c r="DR91" s="677"/>
      <c r="DS91" s="677"/>
      <c r="DT91" s="679"/>
      <c r="DU91" s="678"/>
      <c r="DV91" s="677"/>
      <c r="DW91" s="677"/>
      <c r="DX91" s="677"/>
      <c r="DY91" s="679"/>
      <c r="DZ91" s="678"/>
      <c r="EA91" s="677"/>
      <c r="EB91" s="677"/>
      <c r="EC91" s="677"/>
      <c r="ED91" s="679"/>
      <c r="EE91" s="678"/>
      <c r="EF91" s="677"/>
      <c r="EG91" s="677"/>
      <c r="EH91" s="677"/>
      <c r="EI91" s="679"/>
      <c r="EJ91" s="678"/>
      <c r="EK91" s="677"/>
      <c r="EL91" s="677"/>
      <c r="EM91" s="677"/>
      <c r="EN91" s="679"/>
      <c r="EO91" s="678"/>
      <c r="EP91" s="677"/>
      <c r="EQ91" s="677"/>
      <c r="ER91" s="677"/>
      <c r="ES91" s="679"/>
      <c r="ET91" s="678"/>
      <c r="EU91" s="677"/>
      <c r="EV91" s="677"/>
      <c r="EW91" s="677"/>
      <c r="EX91" s="679"/>
      <c r="EY91" s="678"/>
      <c r="EZ91" s="677"/>
      <c r="FA91" s="677"/>
      <c r="FB91" s="677"/>
      <c r="FC91" s="679"/>
      <c r="FD91" s="678"/>
      <c r="FE91" s="677"/>
      <c r="FF91" s="677"/>
      <c r="FG91" s="677"/>
      <c r="FH91" s="679"/>
    </row>
    <row r="92" spans="2:164" hidden="1">
      <c r="B92" s="716" t="s">
        <v>884</v>
      </c>
      <c r="C92" s="716"/>
      <c r="D92" s="716"/>
      <c r="E92" s="717"/>
      <c r="F92" s="660"/>
      <c r="G92" s="718" t="str">
        <f>'[1]基本 (1)'!D273&amp;"月"</f>
        <v>月</v>
      </c>
      <c r="H92" s="684" t="s">
        <v>1370</v>
      </c>
      <c r="I92" s="685" t="s">
        <v>1370</v>
      </c>
      <c r="J92" s="686"/>
      <c r="K92" s="687"/>
      <c r="L92" s="688"/>
      <c r="M92" s="688"/>
      <c r="N92" s="688"/>
      <c r="O92" s="689"/>
      <c r="P92" s="688"/>
      <c r="Q92" s="688"/>
      <c r="R92" s="688"/>
      <c r="S92" s="690"/>
      <c r="T92" s="689"/>
      <c r="U92" s="688"/>
      <c r="V92" s="688"/>
      <c r="W92" s="688"/>
      <c r="X92" s="690"/>
      <c r="Y92" s="689"/>
      <c r="Z92" s="688"/>
      <c r="AA92" s="688"/>
      <c r="AB92" s="688"/>
      <c r="AC92" s="690"/>
      <c r="AD92" s="689"/>
      <c r="AE92" s="688"/>
      <c r="AF92" s="688"/>
      <c r="AG92" s="688"/>
      <c r="AH92" s="690"/>
      <c r="AI92" s="689"/>
      <c r="AJ92" s="688"/>
      <c r="AK92" s="688"/>
      <c r="AL92" s="688"/>
      <c r="AM92" s="690"/>
      <c r="AN92" s="689"/>
      <c r="AO92" s="688"/>
      <c r="AP92" s="688"/>
      <c r="AQ92" s="688"/>
      <c r="AR92" s="690"/>
      <c r="AS92" s="689"/>
      <c r="AT92" s="688"/>
      <c r="AU92" s="688"/>
      <c r="AV92" s="688"/>
      <c r="AW92" s="690"/>
      <c r="AX92" s="689"/>
      <c r="AY92" s="688"/>
      <c r="AZ92" s="688"/>
      <c r="BA92" s="688"/>
      <c r="BB92" s="690"/>
      <c r="BC92" s="689"/>
      <c r="BD92" s="688"/>
      <c r="BE92" s="688"/>
      <c r="BF92" s="688"/>
      <c r="BG92" s="690"/>
      <c r="BH92" s="689"/>
      <c r="BI92" s="688"/>
      <c r="BJ92" s="688"/>
      <c r="BK92" s="688"/>
      <c r="BL92" s="690"/>
      <c r="BM92" s="689"/>
      <c r="BN92" s="688"/>
      <c r="BO92" s="688"/>
      <c r="BP92" s="688"/>
      <c r="BQ92" s="690"/>
      <c r="BR92" s="689"/>
      <c r="BS92" s="688"/>
      <c r="BT92" s="688"/>
      <c r="BU92" s="688"/>
      <c r="BV92" s="690"/>
      <c r="BW92" s="689"/>
      <c r="BX92" s="688"/>
      <c r="BY92" s="688"/>
      <c r="BZ92" s="688"/>
      <c r="CA92" s="690"/>
      <c r="CB92" s="689"/>
      <c r="CC92" s="688"/>
      <c r="CD92" s="688"/>
      <c r="CE92" s="688"/>
      <c r="CF92" s="690"/>
      <c r="CG92" s="689"/>
      <c r="CH92" s="688"/>
      <c r="CI92" s="688"/>
      <c r="CJ92" s="688"/>
      <c r="CK92" s="690"/>
      <c r="CL92" s="689"/>
      <c r="CM92" s="688"/>
      <c r="CN92" s="688"/>
      <c r="CO92" s="688"/>
      <c r="CP92" s="690"/>
      <c r="CQ92" s="689"/>
      <c r="CR92" s="688"/>
      <c r="CS92" s="688"/>
      <c r="CT92" s="688"/>
      <c r="CU92" s="690"/>
      <c r="CV92" s="689"/>
      <c r="CW92" s="688"/>
      <c r="CX92" s="688"/>
      <c r="CY92" s="688"/>
      <c r="CZ92" s="690"/>
      <c r="DA92" s="689"/>
      <c r="DB92" s="688"/>
      <c r="DC92" s="688"/>
      <c r="DD92" s="688"/>
      <c r="DE92" s="690"/>
      <c r="DF92" s="689"/>
      <c r="DG92" s="688"/>
      <c r="DH92" s="688"/>
      <c r="DI92" s="688"/>
      <c r="DJ92" s="690"/>
      <c r="DK92" s="689"/>
      <c r="DL92" s="688"/>
      <c r="DM92" s="688"/>
      <c r="DN92" s="688"/>
      <c r="DO92" s="690"/>
      <c r="DP92" s="689"/>
      <c r="DQ92" s="688"/>
      <c r="DR92" s="688"/>
      <c r="DS92" s="688"/>
      <c r="DT92" s="690"/>
      <c r="DU92" s="689"/>
      <c r="DV92" s="688"/>
      <c r="DW92" s="688"/>
      <c r="DX92" s="688"/>
      <c r="DY92" s="690"/>
      <c r="DZ92" s="689"/>
      <c r="EA92" s="688"/>
      <c r="EB92" s="688"/>
      <c r="EC92" s="688"/>
      <c r="ED92" s="690"/>
      <c r="EE92" s="689"/>
      <c r="EF92" s="688"/>
      <c r="EG92" s="688"/>
      <c r="EH92" s="688"/>
      <c r="EI92" s="690"/>
      <c r="EJ92" s="689"/>
      <c r="EK92" s="688"/>
      <c r="EL92" s="688"/>
      <c r="EM92" s="688"/>
      <c r="EN92" s="690"/>
      <c r="EO92" s="689"/>
      <c r="EP92" s="688"/>
      <c r="EQ92" s="688"/>
      <c r="ER92" s="688"/>
      <c r="ES92" s="690"/>
      <c r="ET92" s="689"/>
      <c r="EU92" s="688"/>
      <c r="EV92" s="688"/>
      <c r="EW92" s="688"/>
      <c r="EX92" s="690"/>
      <c r="EY92" s="689"/>
      <c r="EZ92" s="688"/>
      <c r="FA92" s="688"/>
      <c r="FB92" s="688"/>
      <c r="FC92" s="690"/>
      <c r="FD92" s="689"/>
      <c r="FE92" s="688"/>
      <c r="FF92" s="688"/>
      <c r="FG92" s="688"/>
      <c r="FH92" s="690"/>
    </row>
    <row r="93" spans="2:164" hidden="1">
      <c r="B93" s="714"/>
      <c r="C93" s="714"/>
      <c r="D93" s="714"/>
      <c r="E93" s="715"/>
      <c r="F93" s="672"/>
      <c r="G93" s="672"/>
      <c r="H93" s="673"/>
      <c r="I93" s="674"/>
      <c r="J93" s="675"/>
      <c r="K93" s="676"/>
      <c r="L93" s="677"/>
      <c r="M93" s="677"/>
      <c r="N93" s="677"/>
      <c r="O93" s="678"/>
      <c r="P93" s="677"/>
      <c r="Q93" s="677"/>
      <c r="R93" s="677"/>
      <c r="S93" s="679"/>
      <c r="T93" s="678"/>
      <c r="U93" s="677"/>
      <c r="V93" s="677"/>
      <c r="W93" s="677"/>
      <c r="X93" s="679"/>
      <c r="Y93" s="678"/>
      <c r="Z93" s="677"/>
      <c r="AA93" s="677"/>
      <c r="AB93" s="677"/>
      <c r="AC93" s="679"/>
      <c r="AD93" s="678"/>
      <c r="AE93" s="677"/>
      <c r="AF93" s="677"/>
      <c r="AG93" s="677"/>
      <c r="AH93" s="679"/>
      <c r="AI93" s="678"/>
      <c r="AJ93" s="677"/>
      <c r="AK93" s="677"/>
      <c r="AL93" s="677"/>
      <c r="AM93" s="679"/>
      <c r="AN93" s="678"/>
      <c r="AO93" s="677"/>
      <c r="AP93" s="677"/>
      <c r="AQ93" s="677"/>
      <c r="AR93" s="679"/>
      <c r="AS93" s="678"/>
      <c r="AT93" s="677"/>
      <c r="AU93" s="677"/>
      <c r="AV93" s="677"/>
      <c r="AW93" s="679"/>
      <c r="AX93" s="678"/>
      <c r="AY93" s="677"/>
      <c r="AZ93" s="677"/>
      <c r="BA93" s="677"/>
      <c r="BB93" s="679"/>
      <c r="BC93" s="678"/>
      <c r="BD93" s="677"/>
      <c r="BE93" s="677"/>
      <c r="BF93" s="677"/>
      <c r="BG93" s="679"/>
      <c r="BH93" s="678"/>
      <c r="BI93" s="677"/>
      <c r="BJ93" s="677"/>
      <c r="BK93" s="677"/>
      <c r="BL93" s="679"/>
      <c r="BM93" s="678"/>
      <c r="BN93" s="677"/>
      <c r="BO93" s="677"/>
      <c r="BP93" s="677"/>
      <c r="BQ93" s="679"/>
      <c r="BR93" s="678"/>
      <c r="BS93" s="677"/>
      <c r="BT93" s="677"/>
      <c r="BU93" s="677"/>
      <c r="BV93" s="679"/>
      <c r="BW93" s="678"/>
      <c r="BX93" s="677"/>
      <c r="BY93" s="677"/>
      <c r="BZ93" s="677"/>
      <c r="CA93" s="679"/>
      <c r="CB93" s="678"/>
      <c r="CC93" s="677"/>
      <c r="CD93" s="677"/>
      <c r="CE93" s="677"/>
      <c r="CF93" s="679"/>
      <c r="CG93" s="678"/>
      <c r="CH93" s="677"/>
      <c r="CI93" s="677"/>
      <c r="CJ93" s="677"/>
      <c r="CK93" s="679"/>
      <c r="CL93" s="678"/>
      <c r="CM93" s="677"/>
      <c r="CN93" s="677"/>
      <c r="CO93" s="677"/>
      <c r="CP93" s="679"/>
      <c r="CQ93" s="678"/>
      <c r="CR93" s="677"/>
      <c r="CS93" s="677"/>
      <c r="CT93" s="677"/>
      <c r="CU93" s="679"/>
      <c r="CV93" s="678"/>
      <c r="CW93" s="677"/>
      <c r="CX93" s="677"/>
      <c r="CY93" s="677"/>
      <c r="CZ93" s="679"/>
      <c r="DA93" s="678"/>
      <c r="DB93" s="677"/>
      <c r="DC93" s="677"/>
      <c r="DD93" s="677"/>
      <c r="DE93" s="679"/>
      <c r="DF93" s="678"/>
      <c r="DG93" s="677"/>
      <c r="DH93" s="677"/>
      <c r="DI93" s="677"/>
      <c r="DJ93" s="679"/>
      <c r="DK93" s="678"/>
      <c r="DL93" s="677"/>
      <c r="DM93" s="677"/>
      <c r="DN93" s="677"/>
      <c r="DO93" s="679"/>
      <c r="DP93" s="678"/>
      <c r="DQ93" s="677"/>
      <c r="DR93" s="677"/>
      <c r="DS93" s="677"/>
      <c r="DT93" s="679"/>
      <c r="DU93" s="678"/>
      <c r="DV93" s="677"/>
      <c r="DW93" s="677"/>
      <c r="DX93" s="677"/>
      <c r="DY93" s="679"/>
      <c r="DZ93" s="678"/>
      <c r="EA93" s="677"/>
      <c r="EB93" s="677"/>
      <c r="EC93" s="677"/>
      <c r="ED93" s="679"/>
      <c r="EE93" s="678"/>
      <c r="EF93" s="677"/>
      <c r="EG93" s="677"/>
      <c r="EH93" s="677"/>
      <c r="EI93" s="679"/>
      <c r="EJ93" s="678"/>
      <c r="EK93" s="677"/>
      <c r="EL93" s="677"/>
      <c r="EM93" s="677"/>
      <c r="EN93" s="679"/>
      <c r="EO93" s="678"/>
      <c r="EP93" s="677"/>
      <c r="EQ93" s="677"/>
      <c r="ER93" s="677"/>
      <c r="ES93" s="679"/>
      <c r="ET93" s="678"/>
      <c r="EU93" s="677"/>
      <c r="EV93" s="677"/>
      <c r="EW93" s="677"/>
      <c r="EX93" s="679"/>
      <c r="EY93" s="678"/>
      <c r="EZ93" s="677"/>
      <c r="FA93" s="677"/>
      <c r="FB93" s="677"/>
      <c r="FC93" s="679"/>
      <c r="FD93" s="678"/>
      <c r="FE93" s="677"/>
      <c r="FF93" s="677"/>
      <c r="FG93" s="677"/>
      <c r="FH93" s="679"/>
    </row>
    <row r="94" spans="2:164" ht="14.25" thickBot="1">
      <c r="B94" s="717" t="s">
        <v>1400</v>
      </c>
      <c r="C94" s="719"/>
      <c r="D94" s="719"/>
      <c r="E94" s="720"/>
      <c r="F94" s="660"/>
      <c r="G94" s="660">
        <f>'[1]基本 (1)'!D293</f>
        <v>99</v>
      </c>
      <c r="H94" s="684" t="s">
        <v>1370</v>
      </c>
      <c r="I94" s="685" t="s">
        <v>1370</v>
      </c>
      <c r="J94" s="686"/>
      <c r="K94" s="687"/>
      <c r="L94" s="688"/>
      <c r="M94" s="688"/>
      <c r="N94" s="688"/>
      <c r="O94" s="689"/>
      <c r="P94" s="688"/>
      <c r="Q94" s="688"/>
      <c r="R94" s="688"/>
      <c r="S94" s="690"/>
      <c r="T94" s="689"/>
      <c r="U94" s="688"/>
      <c r="V94" s="688"/>
      <c r="W94" s="688"/>
      <c r="X94" s="690"/>
      <c r="Y94" s="689"/>
      <c r="Z94" s="688"/>
      <c r="AA94" s="688"/>
      <c r="AB94" s="688"/>
      <c r="AC94" s="690"/>
      <c r="AD94" s="689"/>
      <c r="AE94" s="688"/>
      <c r="AF94" s="688"/>
      <c r="AG94" s="688"/>
      <c r="AH94" s="690"/>
      <c r="AI94" s="689"/>
      <c r="AJ94" s="688"/>
      <c r="AK94" s="688"/>
      <c r="AL94" s="688"/>
      <c r="AM94" s="690"/>
      <c r="AN94" s="689"/>
      <c r="AO94" s="688"/>
      <c r="AP94" s="688"/>
      <c r="AQ94" s="688"/>
      <c r="AR94" s="690"/>
      <c r="AS94" s="689"/>
      <c r="AT94" s="688"/>
      <c r="AU94" s="688"/>
      <c r="AV94" s="688"/>
      <c r="AW94" s="690"/>
      <c r="AX94" s="689"/>
      <c r="AY94" s="688"/>
      <c r="AZ94" s="688"/>
      <c r="BA94" s="688"/>
      <c r="BB94" s="690"/>
      <c r="BC94" s="689"/>
      <c r="BD94" s="688"/>
      <c r="BE94" s="688"/>
      <c r="BF94" s="688"/>
      <c r="BG94" s="690"/>
      <c r="BH94" s="689"/>
      <c r="BI94" s="688"/>
      <c r="BJ94" s="688"/>
      <c r="BK94" s="688"/>
      <c r="BL94" s="690"/>
      <c r="BM94" s="689"/>
      <c r="BN94" s="688"/>
      <c r="BO94" s="688"/>
      <c r="BP94" s="688"/>
      <c r="BQ94" s="690"/>
      <c r="BR94" s="689"/>
      <c r="BS94" s="688"/>
      <c r="BT94" s="688"/>
      <c r="BU94" s="688"/>
      <c r="BV94" s="690"/>
      <c r="BW94" s="689"/>
      <c r="BX94" s="688"/>
      <c r="BY94" s="691"/>
      <c r="BZ94" s="691"/>
      <c r="CA94" s="692"/>
      <c r="CB94" s="693"/>
      <c r="CC94" s="691"/>
      <c r="CD94" s="691"/>
      <c r="CE94" s="691"/>
      <c r="CF94" s="692"/>
      <c r="CG94" s="693"/>
      <c r="CH94" s="691"/>
      <c r="CI94" s="691"/>
      <c r="CJ94" s="691"/>
      <c r="CK94" s="692"/>
      <c r="CL94" s="693"/>
      <c r="CM94" s="691"/>
      <c r="CN94" s="691"/>
      <c r="CO94" s="691"/>
      <c r="CP94" s="692"/>
      <c r="CQ94" s="693"/>
      <c r="CR94" s="691"/>
      <c r="CS94" s="691"/>
      <c r="CT94" s="691"/>
      <c r="CU94" s="692"/>
      <c r="CV94" s="693"/>
      <c r="CW94" s="691"/>
      <c r="CX94" s="691"/>
      <c r="CY94" s="691"/>
      <c r="CZ94" s="692"/>
      <c r="DA94" s="693"/>
      <c r="DB94" s="691"/>
      <c r="DC94" s="691"/>
      <c r="DD94" s="691"/>
      <c r="DE94" s="692"/>
      <c r="DF94" s="693"/>
      <c r="DG94" s="691"/>
      <c r="DH94" s="691"/>
      <c r="DI94" s="691"/>
      <c r="DJ94" s="692"/>
      <c r="DK94" s="693"/>
      <c r="DL94" s="691"/>
      <c r="DM94" s="691"/>
      <c r="DN94" s="691"/>
      <c r="DO94" s="692"/>
      <c r="DP94" s="693"/>
      <c r="DQ94" s="691"/>
      <c r="DR94" s="691"/>
      <c r="DS94" s="688"/>
      <c r="DT94" s="690"/>
      <c r="DU94" s="689"/>
      <c r="DV94" s="688"/>
      <c r="DW94" s="688"/>
      <c r="DX94" s="688"/>
      <c r="DY94" s="690"/>
      <c r="DZ94" s="689"/>
      <c r="EA94" s="688"/>
      <c r="EB94" s="688"/>
      <c r="EC94" s="688"/>
      <c r="ED94" s="690"/>
      <c r="EE94" s="689"/>
      <c r="EF94" s="688"/>
      <c r="EG94" s="688"/>
      <c r="EH94" s="688"/>
      <c r="EI94" s="690"/>
      <c r="EJ94" s="689"/>
      <c r="EK94" s="688"/>
      <c r="EL94" s="688"/>
      <c r="EM94" s="688"/>
      <c r="EN94" s="690"/>
      <c r="EO94" s="689"/>
      <c r="EP94" s="688"/>
      <c r="EQ94" s="688"/>
      <c r="ER94" s="688"/>
      <c r="ES94" s="690"/>
      <c r="ET94" s="689"/>
      <c r="EU94" s="688"/>
      <c r="EV94" s="688"/>
      <c r="EW94" s="688"/>
      <c r="EX94" s="690"/>
      <c r="EY94" s="689"/>
      <c r="EZ94" s="688"/>
      <c r="FA94" s="688"/>
      <c r="FB94" s="688"/>
      <c r="FC94" s="690"/>
      <c r="FD94" s="689"/>
      <c r="FE94" s="688"/>
      <c r="FF94" s="688"/>
      <c r="FG94" s="688"/>
      <c r="FH94" s="690"/>
    </row>
    <row r="95" spans="2:164">
      <c r="B95" s="714"/>
      <c r="C95" s="714"/>
      <c r="D95" s="714"/>
      <c r="E95" s="715"/>
      <c r="F95" s="672"/>
      <c r="G95" s="672"/>
      <c r="H95" s="673"/>
      <c r="I95" s="674"/>
      <c r="J95" s="675"/>
      <c r="K95" s="676"/>
      <c r="L95" s="677"/>
      <c r="M95" s="677"/>
      <c r="N95" s="677"/>
      <c r="O95" s="678"/>
      <c r="P95" s="677"/>
      <c r="Q95" s="677"/>
      <c r="R95" s="677"/>
      <c r="S95" s="679"/>
      <c r="T95" s="678"/>
      <c r="U95" s="677"/>
      <c r="V95" s="677"/>
      <c r="W95" s="677"/>
      <c r="X95" s="679"/>
      <c r="Y95" s="678"/>
      <c r="Z95" s="677"/>
      <c r="AA95" s="677"/>
      <c r="AB95" s="677"/>
      <c r="AC95" s="679"/>
      <c r="AD95" s="678"/>
      <c r="AE95" s="677"/>
      <c r="AF95" s="677"/>
      <c r="AG95" s="677"/>
      <c r="AH95" s="679"/>
      <c r="AI95" s="678"/>
      <c r="AJ95" s="677"/>
      <c r="AK95" s="677"/>
      <c r="AL95" s="677"/>
      <c r="AM95" s="679"/>
      <c r="AN95" s="678"/>
      <c r="AO95" s="677"/>
      <c r="AP95" s="677"/>
      <c r="AQ95" s="677"/>
      <c r="AR95" s="679"/>
      <c r="AS95" s="678"/>
      <c r="AT95" s="677"/>
      <c r="AU95" s="677"/>
      <c r="AV95" s="677"/>
      <c r="AW95" s="679"/>
      <c r="AX95" s="678"/>
      <c r="AY95" s="677"/>
      <c r="AZ95" s="677"/>
      <c r="BA95" s="677"/>
      <c r="BB95" s="679"/>
      <c r="BC95" s="678"/>
      <c r="BD95" s="677"/>
      <c r="BE95" s="677"/>
      <c r="BF95" s="677"/>
      <c r="BG95" s="679"/>
      <c r="BH95" s="678"/>
      <c r="BI95" s="677"/>
      <c r="BJ95" s="677"/>
      <c r="BK95" s="677"/>
      <c r="BL95" s="679"/>
      <c r="BM95" s="678"/>
      <c r="BN95" s="677"/>
      <c r="BO95" s="677"/>
      <c r="BP95" s="677"/>
      <c r="BQ95" s="679"/>
      <c r="BR95" s="678"/>
      <c r="BS95" s="677"/>
      <c r="BT95" s="677"/>
      <c r="BU95" s="677"/>
      <c r="BV95" s="679"/>
      <c r="BW95" s="678"/>
      <c r="BX95" s="677"/>
      <c r="BY95" s="677"/>
      <c r="BZ95" s="677"/>
      <c r="CA95" s="679"/>
      <c r="CB95" s="678"/>
      <c r="CC95" s="677"/>
      <c r="CD95" s="677"/>
      <c r="CE95" s="677"/>
      <c r="CF95" s="679"/>
      <c r="CG95" s="678"/>
      <c r="CH95" s="677"/>
      <c r="CI95" s="677"/>
      <c r="CJ95" s="677"/>
      <c r="CK95" s="679"/>
      <c r="CL95" s="678"/>
      <c r="CM95" s="677"/>
      <c r="CN95" s="677"/>
      <c r="CO95" s="677"/>
      <c r="CP95" s="679"/>
      <c r="CQ95" s="678"/>
      <c r="CR95" s="677"/>
      <c r="CS95" s="677"/>
      <c r="CT95" s="677"/>
      <c r="CU95" s="679"/>
      <c r="CV95" s="678"/>
      <c r="CW95" s="677"/>
      <c r="CX95" s="677"/>
      <c r="CY95" s="677"/>
      <c r="CZ95" s="679"/>
      <c r="DA95" s="678"/>
      <c r="DB95" s="677"/>
      <c r="DC95" s="677"/>
      <c r="DD95" s="677"/>
      <c r="DE95" s="679"/>
      <c r="DF95" s="678"/>
      <c r="DG95" s="677"/>
      <c r="DH95" s="677"/>
      <c r="DI95" s="677"/>
      <c r="DJ95" s="679"/>
      <c r="DK95" s="678"/>
      <c r="DL95" s="677"/>
      <c r="DM95" s="677"/>
      <c r="DN95" s="677"/>
      <c r="DO95" s="679"/>
      <c r="DP95" s="678"/>
      <c r="DQ95" s="677"/>
      <c r="DR95" s="677"/>
      <c r="DS95" s="677"/>
      <c r="DT95" s="679"/>
      <c r="DU95" s="678"/>
      <c r="DV95" s="677"/>
      <c r="DW95" s="677"/>
      <c r="DX95" s="677"/>
      <c r="DY95" s="679"/>
      <c r="DZ95" s="678"/>
      <c r="EA95" s="677"/>
      <c r="EB95" s="677"/>
      <c r="EC95" s="677"/>
      <c r="ED95" s="679"/>
      <c r="EE95" s="678"/>
      <c r="EF95" s="677"/>
      <c r="EG95" s="677"/>
      <c r="EH95" s="677"/>
      <c r="EI95" s="679"/>
      <c r="EJ95" s="678"/>
      <c r="EK95" s="677"/>
      <c r="EL95" s="677"/>
      <c r="EM95" s="677"/>
      <c r="EN95" s="679"/>
      <c r="EO95" s="678"/>
      <c r="EP95" s="677"/>
      <c r="EQ95" s="677"/>
      <c r="ER95" s="677"/>
      <c r="ES95" s="679"/>
      <c r="ET95" s="678"/>
      <c r="EU95" s="677"/>
      <c r="EV95" s="677"/>
      <c r="EW95" s="677"/>
      <c r="EX95" s="679"/>
      <c r="EY95" s="678"/>
      <c r="EZ95" s="677"/>
      <c r="FA95" s="677"/>
      <c r="FB95" s="677"/>
      <c r="FC95" s="679"/>
      <c r="FD95" s="678"/>
      <c r="FE95" s="677"/>
      <c r="FF95" s="677"/>
      <c r="FG95" s="677"/>
      <c r="FH95" s="679"/>
    </row>
    <row r="96" spans="2:164" ht="14.25" thickBot="1">
      <c r="B96" s="717" t="s">
        <v>1401</v>
      </c>
      <c r="C96" s="719"/>
      <c r="D96" s="719"/>
      <c r="E96" s="720"/>
      <c r="F96" s="660"/>
      <c r="G96" s="660">
        <f>'[1]基本 (1)'!D301</f>
        <v>29</v>
      </c>
      <c r="H96" s="684" t="s">
        <v>1370</v>
      </c>
      <c r="I96" s="685" t="s">
        <v>1375</v>
      </c>
      <c r="J96" s="686"/>
      <c r="K96" s="687"/>
      <c r="L96" s="688"/>
      <c r="M96" s="688"/>
      <c r="N96" s="688"/>
      <c r="O96" s="689"/>
      <c r="P96" s="688"/>
      <c r="Q96" s="688"/>
      <c r="R96" s="688"/>
      <c r="S96" s="690"/>
      <c r="T96" s="689"/>
      <c r="U96" s="688"/>
      <c r="V96" s="688"/>
      <c r="W96" s="688"/>
      <c r="X96" s="690"/>
      <c r="Y96" s="689"/>
      <c r="Z96" s="688"/>
      <c r="AA96" s="688"/>
      <c r="AB96" s="688"/>
      <c r="AC96" s="690"/>
      <c r="AD96" s="689"/>
      <c r="AE96" s="688"/>
      <c r="AF96" s="688"/>
      <c r="AG96" s="688"/>
      <c r="AH96" s="690"/>
      <c r="AI96" s="689"/>
      <c r="AJ96" s="688"/>
      <c r="AK96" s="688"/>
      <c r="AL96" s="688"/>
      <c r="AM96" s="690"/>
      <c r="AN96" s="689"/>
      <c r="AO96" s="688"/>
      <c r="AP96" s="688"/>
      <c r="AQ96" s="688"/>
      <c r="AR96" s="690"/>
      <c r="AS96" s="689"/>
      <c r="AT96" s="688"/>
      <c r="AU96" s="688"/>
      <c r="AV96" s="688"/>
      <c r="AW96" s="690"/>
      <c r="AX96" s="689"/>
      <c r="AY96" s="688"/>
      <c r="AZ96" s="688"/>
      <c r="BA96" s="688"/>
      <c r="BB96" s="690"/>
      <c r="BC96" s="689"/>
      <c r="BD96" s="688"/>
      <c r="BE96" s="688"/>
      <c r="BF96" s="688"/>
      <c r="BG96" s="690"/>
      <c r="BH96" s="689"/>
      <c r="BI96" s="688"/>
      <c r="BJ96" s="688"/>
      <c r="BK96" s="688"/>
      <c r="BL96" s="690"/>
      <c r="BM96" s="689"/>
      <c r="BN96" s="688"/>
      <c r="BO96" s="688"/>
      <c r="BP96" s="688"/>
      <c r="BQ96" s="690"/>
      <c r="BR96" s="689"/>
      <c r="BS96" s="688"/>
      <c r="BT96" s="688"/>
      <c r="BU96" s="688"/>
      <c r="BV96" s="690"/>
      <c r="BW96" s="689"/>
      <c r="BX96" s="688"/>
      <c r="BY96" s="688"/>
      <c r="BZ96" s="688"/>
      <c r="CA96" s="690"/>
      <c r="CB96" s="689"/>
      <c r="CC96" s="688"/>
      <c r="CD96" s="688"/>
      <c r="CE96" s="688"/>
      <c r="CF96" s="690"/>
      <c r="CG96" s="689"/>
      <c r="CH96" s="688"/>
      <c r="CI96" s="688"/>
      <c r="CJ96" s="688"/>
      <c r="CK96" s="690"/>
      <c r="CL96" s="689"/>
      <c r="CM96" s="688"/>
      <c r="CN96" s="688"/>
      <c r="CO96" s="688"/>
      <c r="CP96" s="690"/>
      <c r="CQ96" s="693"/>
      <c r="CR96" s="691"/>
      <c r="CS96" s="691"/>
      <c r="CT96" s="691"/>
      <c r="CU96" s="692"/>
      <c r="CV96" s="693"/>
      <c r="CW96" s="691"/>
      <c r="CX96" s="691"/>
      <c r="CY96" s="691"/>
      <c r="CZ96" s="692"/>
      <c r="DA96" s="693"/>
      <c r="DB96" s="691"/>
      <c r="DC96" s="691"/>
      <c r="DD96" s="691"/>
      <c r="DE96" s="690"/>
      <c r="DF96" s="689"/>
      <c r="DG96" s="688"/>
      <c r="DH96" s="688"/>
      <c r="DI96" s="688"/>
      <c r="DJ96" s="690"/>
      <c r="DK96" s="689"/>
      <c r="DL96" s="688"/>
      <c r="DM96" s="688"/>
      <c r="DN96" s="688"/>
      <c r="DO96" s="690"/>
      <c r="DP96" s="689"/>
      <c r="DQ96" s="688"/>
      <c r="DR96" s="688"/>
      <c r="DS96" s="688"/>
      <c r="DT96" s="690"/>
      <c r="DU96" s="689"/>
      <c r="DV96" s="688"/>
      <c r="DW96" s="688"/>
      <c r="DX96" s="688"/>
      <c r="DY96" s="690"/>
      <c r="DZ96" s="689"/>
      <c r="EA96" s="688"/>
      <c r="EB96" s="688"/>
      <c r="EC96" s="688"/>
      <c r="ED96" s="690"/>
      <c r="EE96" s="689"/>
      <c r="EF96" s="688"/>
      <c r="EG96" s="688"/>
      <c r="EH96" s="688"/>
      <c r="EI96" s="690"/>
      <c r="EJ96" s="689"/>
      <c r="EK96" s="688"/>
      <c r="EL96" s="688"/>
      <c r="EM96" s="688"/>
      <c r="EN96" s="690"/>
      <c r="EO96" s="689"/>
      <c r="EP96" s="688"/>
      <c r="EQ96" s="688"/>
      <c r="ER96" s="688"/>
      <c r="ES96" s="690"/>
      <c r="ET96" s="689"/>
      <c r="EU96" s="688"/>
      <c r="EV96" s="688"/>
      <c r="EW96" s="688"/>
      <c r="EX96" s="690"/>
      <c r="EY96" s="689"/>
      <c r="EZ96" s="688"/>
      <c r="FA96" s="688"/>
      <c r="FB96" s="688"/>
      <c r="FC96" s="690"/>
      <c r="FD96" s="689"/>
      <c r="FE96" s="688"/>
      <c r="FF96" s="688"/>
      <c r="FG96" s="688"/>
      <c r="FH96" s="690"/>
    </row>
    <row r="97" spans="2:164">
      <c r="B97" s="714"/>
      <c r="C97" s="714"/>
      <c r="D97" s="714"/>
      <c r="E97" s="715"/>
      <c r="F97" s="672"/>
      <c r="G97" s="672"/>
      <c r="H97" s="673"/>
      <c r="I97" s="674"/>
      <c r="J97" s="675"/>
      <c r="K97" s="676"/>
      <c r="L97" s="677"/>
      <c r="M97" s="677"/>
      <c r="N97" s="677"/>
      <c r="O97" s="678"/>
      <c r="P97" s="677"/>
      <c r="Q97" s="677"/>
      <c r="R97" s="677"/>
      <c r="S97" s="679"/>
      <c r="T97" s="678"/>
      <c r="U97" s="677"/>
      <c r="V97" s="677"/>
      <c r="W97" s="677"/>
      <c r="X97" s="679"/>
      <c r="Y97" s="678"/>
      <c r="Z97" s="677"/>
      <c r="AA97" s="677"/>
      <c r="AB97" s="677"/>
      <c r="AC97" s="679"/>
      <c r="AD97" s="678"/>
      <c r="AE97" s="677"/>
      <c r="AF97" s="677"/>
      <c r="AG97" s="677"/>
      <c r="AH97" s="679"/>
      <c r="AI97" s="678"/>
      <c r="AJ97" s="677"/>
      <c r="AK97" s="677"/>
      <c r="AL97" s="677"/>
      <c r="AM97" s="679"/>
      <c r="AN97" s="678"/>
      <c r="AO97" s="677"/>
      <c r="AP97" s="677"/>
      <c r="AQ97" s="677"/>
      <c r="AR97" s="679"/>
      <c r="AS97" s="678"/>
      <c r="AT97" s="677"/>
      <c r="AU97" s="677"/>
      <c r="AV97" s="677"/>
      <c r="AW97" s="679"/>
      <c r="AX97" s="678"/>
      <c r="AY97" s="677"/>
      <c r="AZ97" s="677"/>
      <c r="BA97" s="677"/>
      <c r="BB97" s="679"/>
      <c r="BC97" s="678"/>
      <c r="BD97" s="677"/>
      <c r="BE97" s="677"/>
      <c r="BF97" s="677"/>
      <c r="BG97" s="679"/>
      <c r="BH97" s="678"/>
      <c r="BI97" s="677"/>
      <c r="BJ97" s="677"/>
      <c r="BK97" s="677"/>
      <c r="BL97" s="679"/>
      <c r="BM97" s="678"/>
      <c r="BN97" s="677"/>
      <c r="BO97" s="677"/>
      <c r="BP97" s="677"/>
      <c r="BQ97" s="679"/>
      <c r="BR97" s="678"/>
      <c r="BS97" s="677"/>
      <c r="BT97" s="677"/>
      <c r="BU97" s="677"/>
      <c r="BV97" s="679"/>
      <c r="BW97" s="678"/>
      <c r="BX97" s="677"/>
      <c r="BY97" s="677"/>
      <c r="BZ97" s="677"/>
      <c r="CA97" s="679"/>
      <c r="CB97" s="678"/>
      <c r="CC97" s="677"/>
      <c r="CD97" s="677"/>
      <c r="CE97" s="677"/>
      <c r="CF97" s="679"/>
      <c r="CG97" s="678"/>
      <c r="CH97" s="677"/>
      <c r="CI97" s="677"/>
      <c r="CJ97" s="677"/>
      <c r="CK97" s="679"/>
      <c r="CL97" s="678"/>
      <c r="CM97" s="677"/>
      <c r="CN97" s="677"/>
      <c r="CO97" s="677"/>
      <c r="CP97" s="679"/>
      <c r="CQ97" s="678"/>
      <c r="CR97" s="677"/>
      <c r="CS97" s="677"/>
      <c r="CT97" s="677"/>
      <c r="CU97" s="679"/>
      <c r="CV97" s="678"/>
      <c r="CW97" s="677"/>
      <c r="CX97" s="677"/>
      <c r="CY97" s="677"/>
      <c r="CZ97" s="679"/>
      <c r="DA97" s="678"/>
      <c r="DB97" s="677"/>
      <c r="DC97" s="677"/>
      <c r="DD97" s="677"/>
      <c r="DE97" s="679"/>
      <c r="DF97" s="678"/>
      <c r="DG97" s="677"/>
      <c r="DH97" s="677"/>
      <c r="DI97" s="677"/>
      <c r="DJ97" s="679"/>
      <c r="DK97" s="678"/>
      <c r="DL97" s="677"/>
      <c r="DM97" s="677"/>
      <c r="DN97" s="677"/>
      <c r="DO97" s="679"/>
      <c r="DP97" s="678"/>
      <c r="DQ97" s="677"/>
      <c r="DR97" s="677"/>
      <c r="DS97" s="677"/>
      <c r="DT97" s="679"/>
      <c r="DU97" s="678"/>
      <c r="DV97" s="677"/>
      <c r="DW97" s="677"/>
      <c r="DX97" s="677"/>
      <c r="DY97" s="679"/>
      <c r="DZ97" s="678"/>
      <c r="EA97" s="677"/>
      <c r="EB97" s="677"/>
      <c r="EC97" s="677"/>
      <c r="ED97" s="679"/>
      <c r="EE97" s="678"/>
      <c r="EF97" s="677"/>
      <c r="EG97" s="677"/>
      <c r="EH97" s="677"/>
      <c r="EI97" s="679"/>
      <c r="EJ97" s="678"/>
      <c r="EK97" s="677"/>
      <c r="EL97" s="677"/>
      <c r="EM97" s="677"/>
      <c r="EN97" s="679"/>
      <c r="EO97" s="678"/>
      <c r="EP97" s="677"/>
      <c r="EQ97" s="677"/>
      <c r="ER97" s="677"/>
      <c r="ES97" s="679"/>
      <c r="ET97" s="678"/>
      <c r="EU97" s="677"/>
      <c r="EV97" s="677"/>
      <c r="EW97" s="677"/>
      <c r="EX97" s="679"/>
      <c r="EY97" s="678"/>
      <c r="EZ97" s="677"/>
      <c r="FA97" s="677"/>
      <c r="FB97" s="677"/>
      <c r="FC97" s="679"/>
      <c r="FD97" s="678"/>
      <c r="FE97" s="677"/>
      <c r="FF97" s="677"/>
      <c r="FG97" s="677"/>
      <c r="FH97" s="679"/>
    </row>
    <row r="98" spans="2:164" ht="14.25" thickBot="1">
      <c r="B98" s="717" t="s">
        <v>1402</v>
      </c>
      <c r="C98" s="719"/>
      <c r="D98" s="719"/>
      <c r="E98" s="720"/>
      <c r="F98" s="660"/>
      <c r="G98" s="660">
        <f>'[1]基本 (1)'!D311</f>
        <v>99</v>
      </c>
      <c r="H98" s="684" t="s">
        <v>1387</v>
      </c>
      <c r="I98" s="685" t="s">
        <v>1375</v>
      </c>
      <c r="J98" s="686"/>
      <c r="K98" s="687"/>
      <c r="L98" s="688"/>
      <c r="M98" s="688"/>
      <c r="N98" s="688"/>
      <c r="O98" s="689"/>
      <c r="P98" s="688"/>
      <c r="Q98" s="688"/>
      <c r="R98" s="688"/>
      <c r="S98" s="690"/>
      <c r="T98" s="689"/>
      <c r="U98" s="688"/>
      <c r="V98" s="688"/>
      <c r="W98" s="688"/>
      <c r="X98" s="690"/>
      <c r="Y98" s="689"/>
      <c r="Z98" s="688"/>
      <c r="AA98" s="688"/>
      <c r="AB98" s="688"/>
      <c r="AC98" s="690"/>
      <c r="AD98" s="689"/>
      <c r="AE98" s="688"/>
      <c r="AF98" s="688"/>
      <c r="AG98" s="688"/>
      <c r="AH98" s="690"/>
      <c r="AI98" s="689"/>
      <c r="AJ98" s="688"/>
      <c r="AK98" s="688"/>
      <c r="AL98" s="688"/>
      <c r="AM98" s="690"/>
      <c r="AN98" s="689"/>
      <c r="AO98" s="688"/>
      <c r="AP98" s="688"/>
      <c r="AQ98" s="688"/>
      <c r="AR98" s="690"/>
      <c r="AS98" s="689"/>
      <c r="AT98" s="688"/>
      <c r="AU98" s="688"/>
      <c r="AV98" s="688"/>
      <c r="AW98" s="690"/>
      <c r="AX98" s="689"/>
      <c r="AY98" s="688"/>
      <c r="AZ98" s="688"/>
      <c r="BA98" s="688"/>
      <c r="BB98" s="690"/>
      <c r="BC98" s="689"/>
      <c r="BD98" s="688"/>
      <c r="BE98" s="688"/>
      <c r="BF98" s="688"/>
      <c r="BG98" s="690"/>
      <c r="BH98" s="689"/>
      <c r="BI98" s="688"/>
      <c r="BJ98" s="688"/>
      <c r="BK98" s="688"/>
      <c r="BL98" s="690"/>
      <c r="BM98" s="689"/>
      <c r="BN98" s="688"/>
      <c r="BO98" s="688"/>
      <c r="BP98" s="688"/>
      <c r="BQ98" s="690"/>
      <c r="BR98" s="689"/>
      <c r="BS98" s="688"/>
      <c r="BT98" s="688"/>
      <c r="BU98" s="688"/>
      <c r="BV98" s="690"/>
      <c r="BW98" s="689"/>
      <c r="BX98" s="688"/>
      <c r="BY98" s="688"/>
      <c r="BZ98" s="688"/>
      <c r="CA98" s="690"/>
      <c r="CB98" s="689"/>
      <c r="CC98" s="688"/>
      <c r="CD98" s="688"/>
      <c r="CE98" s="688"/>
      <c r="CF98" s="690"/>
      <c r="CG98" s="689"/>
      <c r="CH98" s="688"/>
      <c r="CI98" s="688"/>
      <c r="CJ98" s="688"/>
      <c r="CK98" s="690"/>
      <c r="CL98" s="689"/>
      <c r="CM98" s="691"/>
      <c r="CN98" s="691"/>
      <c r="CO98" s="691"/>
      <c r="CP98" s="692"/>
      <c r="CQ98" s="693"/>
      <c r="CR98" s="691"/>
      <c r="CS98" s="691"/>
      <c r="CT98" s="691"/>
      <c r="CU98" s="692"/>
      <c r="CV98" s="693"/>
      <c r="CW98" s="691"/>
      <c r="CX98" s="691"/>
      <c r="CY98" s="691"/>
      <c r="CZ98" s="692"/>
      <c r="DA98" s="693"/>
      <c r="DB98" s="691"/>
      <c r="DC98" s="691"/>
      <c r="DD98" s="691"/>
      <c r="DE98" s="692"/>
      <c r="DF98" s="693"/>
      <c r="DG98" s="691"/>
      <c r="DH98" s="691"/>
      <c r="DI98" s="691"/>
      <c r="DJ98" s="692"/>
      <c r="DK98" s="693"/>
      <c r="DL98" s="691"/>
      <c r="DM98" s="691"/>
      <c r="DN98" s="691"/>
      <c r="DO98" s="692"/>
      <c r="DP98" s="693"/>
      <c r="DQ98" s="691"/>
      <c r="DR98" s="688"/>
      <c r="DS98" s="688"/>
      <c r="DT98" s="690"/>
      <c r="DU98" s="689"/>
      <c r="DV98" s="688"/>
      <c r="DW98" s="688"/>
      <c r="DX98" s="688"/>
      <c r="DY98" s="690"/>
      <c r="DZ98" s="689"/>
      <c r="EA98" s="688"/>
      <c r="EB98" s="688"/>
      <c r="EC98" s="688"/>
      <c r="ED98" s="690"/>
      <c r="EE98" s="689"/>
      <c r="EF98" s="688"/>
      <c r="EG98" s="688"/>
      <c r="EH98" s="688"/>
      <c r="EI98" s="690"/>
      <c r="EJ98" s="689"/>
      <c r="EK98" s="688"/>
      <c r="EL98" s="688"/>
      <c r="EM98" s="688"/>
      <c r="EN98" s="690"/>
      <c r="EO98" s="689"/>
      <c r="EP98" s="688"/>
      <c r="EQ98" s="688"/>
      <c r="ER98" s="688"/>
      <c r="ES98" s="690"/>
      <c r="ET98" s="689"/>
      <c r="EU98" s="688"/>
      <c r="EV98" s="688"/>
      <c r="EW98" s="688"/>
      <c r="EX98" s="690"/>
      <c r="EY98" s="689"/>
      <c r="EZ98" s="688"/>
      <c r="FA98" s="688"/>
      <c r="FB98" s="688"/>
      <c r="FC98" s="690"/>
      <c r="FD98" s="689"/>
      <c r="FE98" s="688"/>
      <c r="FF98" s="688"/>
      <c r="FG98" s="688"/>
      <c r="FH98" s="690"/>
    </row>
    <row r="99" spans="2:164">
      <c r="B99" s="714"/>
      <c r="C99" s="714"/>
      <c r="D99" s="714"/>
      <c r="E99" s="715"/>
      <c r="F99" s="672"/>
      <c r="G99" s="672"/>
      <c r="H99" s="673"/>
      <c r="I99" s="674"/>
      <c r="J99" s="675"/>
      <c r="K99" s="676"/>
      <c r="L99" s="677"/>
      <c r="M99" s="677"/>
      <c r="N99" s="677"/>
      <c r="O99" s="678"/>
      <c r="P99" s="677"/>
      <c r="Q99" s="677"/>
      <c r="R99" s="677"/>
      <c r="S99" s="679"/>
      <c r="T99" s="678"/>
      <c r="U99" s="677"/>
      <c r="V99" s="677"/>
      <c r="W99" s="677"/>
      <c r="X99" s="679"/>
      <c r="Y99" s="678"/>
      <c r="Z99" s="677"/>
      <c r="AA99" s="677"/>
      <c r="AB99" s="677"/>
      <c r="AC99" s="679"/>
      <c r="AD99" s="678"/>
      <c r="AE99" s="677"/>
      <c r="AF99" s="677"/>
      <c r="AG99" s="677"/>
      <c r="AH99" s="679"/>
      <c r="AI99" s="678"/>
      <c r="AJ99" s="677"/>
      <c r="AK99" s="677"/>
      <c r="AL99" s="677"/>
      <c r="AM99" s="679"/>
      <c r="AN99" s="678"/>
      <c r="AO99" s="677"/>
      <c r="AP99" s="677"/>
      <c r="AQ99" s="677"/>
      <c r="AR99" s="679"/>
      <c r="AS99" s="678"/>
      <c r="AT99" s="677"/>
      <c r="AU99" s="677"/>
      <c r="AV99" s="677"/>
      <c r="AW99" s="679"/>
      <c r="AX99" s="678"/>
      <c r="AY99" s="677"/>
      <c r="AZ99" s="677"/>
      <c r="BA99" s="677"/>
      <c r="BB99" s="679"/>
      <c r="BC99" s="678"/>
      <c r="BD99" s="677"/>
      <c r="BE99" s="677"/>
      <c r="BF99" s="677"/>
      <c r="BG99" s="679"/>
      <c r="BH99" s="678"/>
      <c r="BI99" s="677"/>
      <c r="BJ99" s="677"/>
      <c r="BK99" s="677"/>
      <c r="BL99" s="679"/>
      <c r="BM99" s="678"/>
      <c r="BN99" s="677"/>
      <c r="BO99" s="677"/>
      <c r="BP99" s="677"/>
      <c r="BQ99" s="679"/>
      <c r="BR99" s="678"/>
      <c r="BS99" s="677"/>
      <c r="BT99" s="677"/>
      <c r="BU99" s="677"/>
      <c r="BV99" s="679"/>
      <c r="BW99" s="678"/>
      <c r="BX99" s="677"/>
      <c r="BY99" s="677"/>
      <c r="BZ99" s="677"/>
      <c r="CA99" s="679"/>
      <c r="CB99" s="678"/>
      <c r="CC99" s="677"/>
      <c r="CD99" s="677"/>
      <c r="CE99" s="677"/>
      <c r="CF99" s="679"/>
      <c r="CG99" s="678"/>
      <c r="CH99" s="677"/>
      <c r="CI99" s="677"/>
      <c r="CJ99" s="677"/>
      <c r="CK99" s="679"/>
      <c r="CL99" s="678"/>
      <c r="CM99" s="677"/>
      <c r="CN99" s="677"/>
      <c r="CO99" s="677"/>
      <c r="CP99" s="679"/>
      <c r="CQ99" s="678"/>
      <c r="CR99" s="677"/>
      <c r="CS99" s="677"/>
      <c r="CT99" s="677"/>
      <c r="CU99" s="679"/>
      <c r="CV99" s="678"/>
      <c r="CW99" s="677"/>
      <c r="CX99" s="677"/>
      <c r="CY99" s="677"/>
      <c r="CZ99" s="679"/>
      <c r="DA99" s="678"/>
      <c r="DB99" s="677"/>
      <c r="DC99" s="677"/>
      <c r="DD99" s="677"/>
      <c r="DE99" s="679"/>
      <c r="DF99" s="678"/>
      <c r="DG99" s="677"/>
      <c r="DH99" s="677"/>
      <c r="DI99" s="677"/>
      <c r="DJ99" s="679"/>
      <c r="DK99" s="678"/>
      <c r="DL99" s="677"/>
      <c r="DM99" s="677"/>
      <c r="DN99" s="677"/>
      <c r="DO99" s="679"/>
      <c r="DP99" s="678"/>
      <c r="DQ99" s="677"/>
      <c r="DR99" s="677"/>
      <c r="DS99" s="677"/>
      <c r="DT99" s="679"/>
      <c r="DU99" s="678"/>
      <c r="DV99" s="677"/>
      <c r="DW99" s="677"/>
      <c r="DX99" s="677"/>
      <c r="DY99" s="679"/>
      <c r="DZ99" s="678"/>
      <c r="EA99" s="677"/>
      <c r="EB99" s="677"/>
      <c r="EC99" s="677"/>
      <c r="ED99" s="679"/>
      <c r="EE99" s="678"/>
      <c r="EF99" s="677"/>
      <c r="EG99" s="677"/>
      <c r="EH99" s="677"/>
      <c r="EI99" s="679"/>
      <c r="EJ99" s="678"/>
      <c r="EK99" s="677"/>
      <c r="EL99" s="677"/>
      <c r="EM99" s="677"/>
      <c r="EN99" s="679"/>
      <c r="EO99" s="678"/>
      <c r="EP99" s="677"/>
      <c r="EQ99" s="677"/>
      <c r="ER99" s="677"/>
      <c r="ES99" s="679"/>
      <c r="ET99" s="678"/>
      <c r="EU99" s="677"/>
      <c r="EV99" s="677"/>
      <c r="EW99" s="677"/>
      <c r="EX99" s="679"/>
      <c r="EY99" s="678"/>
      <c r="EZ99" s="677"/>
      <c r="FA99" s="677"/>
      <c r="FB99" s="677"/>
      <c r="FC99" s="679"/>
      <c r="FD99" s="678"/>
      <c r="FE99" s="677"/>
      <c r="FF99" s="677"/>
      <c r="FG99" s="677"/>
      <c r="FH99" s="679"/>
    </row>
    <row r="101" spans="2:164">
      <c r="C101" s="321" t="s">
        <v>1403</v>
      </c>
    </row>
    <row r="102" spans="2:164">
      <c r="C102" s="321" t="s">
        <v>1404</v>
      </c>
    </row>
    <row r="103" spans="2:164">
      <c r="C103" s="321" t="s">
        <v>1405</v>
      </c>
    </row>
    <row r="104" spans="2:164">
      <c r="C104" s="321" t="s">
        <v>1406</v>
      </c>
    </row>
    <row r="105" spans="2:164">
      <c r="C105" s="321" t="s">
        <v>1407</v>
      </c>
    </row>
  </sheetData>
  <mergeCells count="95">
    <mergeCell ref="B95:E95"/>
    <mergeCell ref="B96:E96"/>
    <mergeCell ref="B97:E97"/>
    <mergeCell ref="B98:E98"/>
    <mergeCell ref="B99:E99"/>
    <mergeCell ref="B89:E89"/>
    <mergeCell ref="B90:E90"/>
    <mergeCell ref="B91:E91"/>
    <mergeCell ref="B92:E92"/>
    <mergeCell ref="B93:E93"/>
    <mergeCell ref="B94:E94"/>
    <mergeCell ref="B83:E83"/>
    <mergeCell ref="B84:E84"/>
    <mergeCell ref="B85:E85"/>
    <mergeCell ref="B86:E86"/>
    <mergeCell ref="B87:E87"/>
    <mergeCell ref="B88:E88"/>
    <mergeCell ref="B77:E77"/>
    <mergeCell ref="B78:E78"/>
    <mergeCell ref="B79:E79"/>
    <mergeCell ref="B80:E80"/>
    <mergeCell ref="B81:E81"/>
    <mergeCell ref="B82:E82"/>
    <mergeCell ref="B71:E71"/>
    <mergeCell ref="B72:E72"/>
    <mergeCell ref="B73:E73"/>
    <mergeCell ref="B74:E74"/>
    <mergeCell ref="B75:E75"/>
    <mergeCell ref="B76:E76"/>
    <mergeCell ref="B65:E65"/>
    <mergeCell ref="B66:E66"/>
    <mergeCell ref="B67:E67"/>
    <mergeCell ref="B68:E68"/>
    <mergeCell ref="B69:E69"/>
    <mergeCell ref="B70:E70"/>
    <mergeCell ref="B59:E59"/>
    <mergeCell ref="B60:E60"/>
    <mergeCell ref="B61:E61"/>
    <mergeCell ref="B62:E62"/>
    <mergeCell ref="B63:E63"/>
    <mergeCell ref="B64:E64"/>
    <mergeCell ref="D53:E53"/>
    <mergeCell ref="D54:E54"/>
    <mergeCell ref="D55:E55"/>
    <mergeCell ref="D56:E56"/>
    <mergeCell ref="B57:E57"/>
    <mergeCell ref="B58:E58"/>
    <mergeCell ref="B48:E48"/>
    <mergeCell ref="B49:E49"/>
    <mergeCell ref="B50:E50"/>
    <mergeCell ref="B51:C51"/>
    <mergeCell ref="D51:E51"/>
    <mergeCell ref="D52:E52"/>
    <mergeCell ref="B42:E42"/>
    <mergeCell ref="B43:E43"/>
    <mergeCell ref="B44:E44"/>
    <mergeCell ref="B45:E45"/>
    <mergeCell ref="B46:E46"/>
    <mergeCell ref="B47:E47"/>
    <mergeCell ref="B36:E36"/>
    <mergeCell ref="B37:E37"/>
    <mergeCell ref="B38:E38"/>
    <mergeCell ref="B39:E39"/>
    <mergeCell ref="B40:E40"/>
    <mergeCell ref="B41:E41"/>
    <mergeCell ref="B30:E30"/>
    <mergeCell ref="B31:E31"/>
    <mergeCell ref="B32:E32"/>
    <mergeCell ref="B33:E33"/>
    <mergeCell ref="B34:E34"/>
    <mergeCell ref="B35:E35"/>
    <mergeCell ref="B24:E24"/>
    <mergeCell ref="B25:E25"/>
    <mergeCell ref="B26:E26"/>
    <mergeCell ref="B27:E27"/>
    <mergeCell ref="B28:E28"/>
    <mergeCell ref="B29:E29"/>
    <mergeCell ref="B18:E18"/>
    <mergeCell ref="B19:E19"/>
    <mergeCell ref="B20:E20"/>
    <mergeCell ref="B21:E21"/>
    <mergeCell ref="B22:E22"/>
    <mergeCell ref="B23:E23"/>
    <mergeCell ref="B12:E12"/>
    <mergeCell ref="B13:E13"/>
    <mergeCell ref="B14:E14"/>
    <mergeCell ref="B15:E15"/>
    <mergeCell ref="B16:E16"/>
    <mergeCell ref="B17:E17"/>
    <mergeCell ref="B6:E6"/>
    <mergeCell ref="B7:E7"/>
    <mergeCell ref="B8:E8"/>
    <mergeCell ref="B9:E9"/>
    <mergeCell ref="B10:E10"/>
    <mergeCell ref="B11:E11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116</vt:i4>
      </vt:variant>
    </vt:vector>
  </HeadingPairs>
  <TitlesOfParts>
    <vt:vector size="122" baseType="lpstr">
      <vt:lpstr>基本 (1)</vt:lpstr>
      <vt:lpstr>日数 (1)</vt:lpstr>
      <vt:lpstr>クレーン (1)</vt:lpstr>
      <vt:lpstr>日数表 (1)</vt:lpstr>
      <vt:lpstr>工事費 (1)</vt:lpstr>
      <vt:lpstr>工程 (1)</vt:lpstr>
      <vt:lpstr>'工事費 (1)'!Cel一覧_沓据付工_数量</vt:lpstr>
      <vt:lpstr>'工事費 (1)'!Cel一覧_沓据付工_単価</vt:lpstr>
      <vt:lpstr>'工事費 (1)'!Cel一覧_継手部現場塗装工_数量</vt:lpstr>
      <vt:lpstr>'工事費 (1)'!Cel一覧_継手部現場塗装工_単価</vt:lpstr>
      <vt:lpstr>'工事費 (1)'!Cel一覧_桁架設工横桁組立工_数量</vt:lpstr>
      <vt:lpstr>'工事費 (1)'!Cel一覧_桁架設工横桁組立工_単価</vt:lpstr>
      <vt:lpstr>'工事費 (1)'!Cel一覧_桁架設工主桁横取り工_数量</vt:lpstr>
      <vt:lpstr>'工事費 (1)'!Cel一覧_桁架設工主桁横取り工_単価</vt:lpstr>
      <vt:lpstr>'工事費 (1)'!Cel一覧_桁架設工主桁降下工_数量</vt:lpstr>
      <vt:lpstr>'工事費 (1)'!Cel一覧_桁架設工主桁降下工_単価</vt:lpstr>
      <vt:lpstr>'工事費 (1)'!Cel一覧_桁架設工主桁組立工_数量</vt:lpstr>
      <vt:lpstr>'工事費 (1)'!Cel一覧_桁架設工主桁組立工_単価</vt:lpstr>
      <vt:lpstr>'工事費 (1)'!Cel一覧_桁架設工主桁送出し工_数量</vt:lpstr>
      <vt:lpstr>'工事費 (1)'!Cel一覧_桁架設工主桁送出し工_単価</vt:lpstr>
      <vt:lpstr>'工事費 (1)'!Cel一覧_桁端処理工_数量</vt:lpstr>
      <vt:lpstr>'工事費 (1)'!Cel一覧_桁端処理工_単価</vt:lpstr>
      <vt:lpstr>'工事費 (1)'!Cel一覧_現場継手部溶接工_数量</vt:lpstr>
      <vt:lpstr>'工事費 (1)'!Cel一覧_現場継手部溶接工_単価</vt:lpstr>
      <vt:lpstr>'工事費 (1)'!Cel一覧_高力ボルト本締工_数量</vt:lpstr>
      <vt:lpstr>'工事費 (1)'!Cel一覧_高力ボルト本締工_単価</vt:lpstr>
      <vt:lpstr>'工事費 (1)'!Cel一覧_重機分解組立運搬費_金額計</vt:lpstr>
      <vt:lpstr>'工事費 (1)'!Cel一覧_重機分解組立運搬費_数量</vt:lpstr>
      <vt:lpstr>'工事費 (1)'!Cel一覧_重機分解組立運搬費_単価</vt:lpstr>
      <vt:lpstr>'工事費 (1)'!Cel一覧_送出しヤード工ベント基礎工_数量</vt:lpstr>
      <vt:lpstr>'工事費 (1)'!Cel一覧_送出しヤード工ベント基礎工_単価</vt:lpstr>
      <vt:lpstr>'工事費 (1)'!Cel一覧_送出しヤード工ベント設備工_数量</vt:lpstr>
      <vt:lpstr>'工事費 (1)'!Cel一覧_送出しヤード工ベント設備工_単価</vt:lpstr>
      <vt:lpstr>'工事費 (1)'!Cel一覧_送出しヤード工基礎砕石工_数量</vt:lpstr>
      <vt:lpstr>'工事費 (1)'!Cel一覧_送出しヤード工基礎砕石工_単価</vt:lpstr>
      <vt:lpstr>'工事費 (1)'!Cel一覧_送出しヤード工軌条桁工_数量</vt:lpstr>
      <vt:lpstr>'工事費 (1)'!Cel一覧_送出しヤード工軌条桁工_単価</vt:lpstr>
      <vt:lpstr>'工事費 (1)'!Cel一覧_送出しヤード工軌条設備工_数量</vt:lpstr>
      <vt:lpstr>'工事費 (1)'!Cel一覧_送出しヤード工軌条設備工_単価</vt:lpstr>
      <vt:lpstr>'工事費 (1)'!Cel一覧_送出し設備工降下設備工_数量</vt:lpstr>
      <vt:lpstr>'工事費 (1)'!Cel一覧_送出し設備工降下設備工_単価</vt:lpstr>
      <vt:lpstr>'工事費 (1)'!Cel一覧_送出し設備工手延機・連結構設備工_数量</vt:lpstr>
      <vt:lpstr>'工事費 (1)'!Cel一覧_送出し設備工手延機・連結構設備工_単価</vt:lpstr>
      <vt:lpstr>'工事費 (1)'!Cel一覧_送出し設備工送出し装置設備工_数量</vt:lpstr>
      <vt:lpstr>'工事費 (1)'!Cel一覧_送出し設備工送出し装置設備工_単価</vt:lpstr>
      <vt:lpstr>'工事費 (1)'!Cel一覧_送出し設備工台車設備工_数量</vt:lpstr>
      <vt:lpstr>'工事費 (1)'!Cel一覧_送出し設備工台車設備工_単価</vt:lpstr>
      <vt:lpstr>'工事費 (1)'!Cel一覧_足場工_数量</vt:lpstr>
      <vt:lpstr>'工事費 (1)'!Cel一覧_足場工_単価</vt:lpstr>
      <vt:lpstr>'工事費 (1)'!Cel一覧_落橋防止装置工_数量</vt:lpstr>
      <vt:lpstr>'工事費 (1)'!Cel一覧_落橋防止装置工_単価</vt:lpstr>
      <vt:lpstr>'工事費 (1)'!Cel工事_沓据付工_金額計</vt:lpstr>
      <vt:lpstr>'工事費 (1)'!Cel工事_沓据付工_所用日数_ケーブルクレーン</vt:lpstr>
      <vt:lpstr>'工事費 (1)'!Cel工事_沓据付工_所用日数_トラッククレーン</vt:lpstr>
      <vt:lpstr>'工事費 (1)'!Cel工事_沓据付工_数量計</vt:lpstr>
      <vt:lpstr>'工事費 (1)'!Cel工事_沓据付工_単価</vt:lpstr>
      <vt:lpstr>'工事費 (1)'!Cel工事_継手部現場塗装工_数量_素地調整工</vt:lpstr>
      <vt:lpstr>'工事費 (1)'!Cel工事_継手部現場塗装工_数量計</vt:lpstr>
      <vt:lpstr>'工事費 (1)'!Cel工事_継手部現場塗装工_単価</vt:lpstr>
      <vt:lpstr>'工事費 (1)'!Cel工事_桁架設工横桁組立工_数量計</vt:lpstr>
      <vt:lpstr>'工事費 (1)'!Cel工事_桁架設工横桁組立工_単価</vt:lpstr>
      <vt:lpstr>'工事費 (1)'!Cel工事_桁架設工主桁横取り工_数量計</vt:lpstr>
      <vt:lpstr>'工事費 (1)'!Cel工事_桁架設工主桁横取り工_単価</vt:lpstr>
      <vt:lpstr>'工事費 (1)'!Cel工事_桁架設工主桁降下工_金額計</vt:lpstr>
      <vt:lpstr>'工事費 (1)'!Cel工事_桁架設工主桁降下工_受け点</vt:lpstr>
      <vt:lpstr>'工事費 (1)'!Cel工事_桁架設工主桁降下工_数量計</vt:lpstr>
      <vt:lpstr>'工事費 (1)'!Cel工事_桁架設工主桁降下工_単価</vt:lpstr>
      <vt:lpstr>'工事費 (1)'!Cel工事_桁架設工主桁組立工_金額計</vt:lpstr>
      <vt:lpstr>'工事費 (1)'!Cel工事_桁架設工主桁組立工_数量計</vt:lpstr>
      <vt:lpstr>'工事費 (1)'!Cel工事_桁架設工主桁組立工_単価</vt:lpstr>
      <vt:lpstr>'工事費 (1)'!Cel工事_桁架設工主桁送出し工_金額計</vt:lpstr>
      <vt:lpstr>'工事費 (1)'!Cel工事_桁架設工主桁送出し工_受け点</vt:lpstr>
      <vt:lpstr>'工事費 (1)'!Cel工事_桁架設工主桁送出し工_所用日数</vt:lpstr>
      <vt:lpstr>'工事費 (1)'!Cel工事_桁架設工主桁送出し工_数量_橋梁特殊工</vt:lpstr>
      <vt:lpstr>'工事費 (1)'!Cel工事_桁架設工主桁送出し工_数量計</vt:lpstr>
      <vt:lpstr>'工事費 (1)'!Cel工事_桁架設工主桁送出し工_単価</vt:lpstr>
      <vt:lpstr>'工事費 (1)'!Cel工事_桁架設工主桁送出し工数量根拠_労務編成_橋梁世話役</vt:lpstr>
      <vt:lpstr>'工事費 (1)'!Cel工事_桁架設工主桁送出し工数量根拠_労務編成_橋梁特殊工</vt:lpstr>
      <vt:lpstr>'工事費 (1)'!Cel工事_桁端処理工_金額計</vt:lpstr>
      <vt:lpstr>'工事費 (1)'!Cel工事_桁端処理工_数量計</vt:lpstr>
      <vt:lpstr>'工事費 (1)'!Cel工事_桁端処理工_単価</vt:lpstr>
      <vt:lpstr>'工事費 (1)'!Cel工事_検査費_数量計</vt:lpstr>
      <vt:lpstr>'工事費 (1)'!Cel工事_検査費_単価</vt:lpstr>
      <vt:lpstr>'工事費 (1)'!Cel工事_現場継手部溶接工_金額計</vt:lpstr>
      <vt:lpstr>'工事費 (1)'!Cel工事_現場継手部溶接工_数量計</vt:lpstr>
      <vt:lpstr>'工事費 (1)'!Cel工事_現場継手部溶接工_単価</vt:lpstr>
      <vt:lpstr>'工事費 (1)'!Cel工事_高力ボルト本締工_金額計</vt:lpstr>
      <vt:lpstr>'工事費 (1)'!Cel工事_高力ボルト本締工_数量計</vt:lpstr>
      <vt:lpstr>'工事費 (1)'!Cel工事_高力ボルト本締工_単価</vt:lpstr>
      <vt:lpstr>'工事費 (1)'!Cel工事_送出しヤード工ベント基礎工_数量計</vt:lpstr>
      <vt:lpstr>'工事費 (1)'!Cel工事_送出しヤード工ベント基礎工_単価</vt:lpstr>
      <vt:lpstr>'工事費 (1)'!Cel工事_送出しヤード工ベント設備工_数量計</vt:lpstr>
      <vt:lpstr>'工事費 (1)'!Cel工事_送出しヤード工ベント設備工_単価</vt:lpstr>
      <vt:lpstr>'工事費 (1)'!Cel工事_送出しヤード工基礎砕石工_金額計</vt:lpstr>
      <vt:lpstr>'工事費 (1)'!Cel工事_送出しヤード工基礎砕石工_数量計</vt:lpstr>
      <vt:lpstr>'工事費 (1)'!Cel工事_送出しヤード工基礎砕石工_単価</vt:lpstr>
      <vt:lpstr>'工事費 (1)'!Cel工事_送出しヤード工軌条桁工_金額計</vt:lpstr>
      <vt:lpstr>'工事費 (1)'!Cel工事_送出しヤード工軌条桁工_数量計</vt:lpstr>
      <vt:lpstr>'工事費 (1)'!Cel工事_送出しヤード工軌条桁工_単価</vt:lpstr>
      <vt:lpstr>'工事費 (1)'!Cel工事_送出しヤード工軌条設備工_金額計</vt:lpstr>
      <vt:lpstr>'工事費 (1)'!Cel工事_送出しヤード工軌条設備工_数量計</vt:lpstr>
      <vt:lpstr>'工事費 (1)'!Cel工事_送出しヤード工軌条設備工_単価</vt:lpstr>
      <vt:lpstr>'工事費 (1)'!Cel工事_送出し設備工降下設備工_金額計</vt:lpstr>
      <vt:lpstr>'工事費 (1)'!Cel工事_送出し設備工降下設備工_数量計</vt:lpstr>
      <vt:lpstr>'工事費 (1)'!Cel工事_送出し設備工降下設備工_単価</vt:lpstr>
      <vt:lpstr>'工事費 (1)'!Cel工事_送出し設備工手延機・連結構設備工_金額計</vt:lpstr>
      <vt:lpstr>'工事費 (1)'!Cel工事_送出し設備工手延機・連結構設備工_数量計</vt:lpstr>
      <vt:lpstr>'工事費 (1)'!Cel工事_送出し設備工手延機・連結構設備工_単価</vt:lpstr>
      <vt:lpstr>'工事費 (1)'!Cel工事_送出し設備工送出し装置設備工_金額計</vt:lpstr>
      <vt:lpstr>'工事費 (1)'!Cel工事_送出し設備工送出し装置設備工_数量計</vt:lpstr>
      <vt:lpstr>'工事費 (1)'!Cel工事_送出し設備工送出し装置設備工_単価</vt:lpstr>
      <vt:lpstr>'工事費 (1)'!Cel工事_送出し設備工台車設備工_金額計</vt:lpstr>
      <vt:lpstr>'工事費 (1)'!Cel工事_送出し設備工台車設備工_数量計</vt:lpstr>
      <vt:lpstr>'工事費 (1)'!Cel工事_送出し設備工台車設備工_単価</vt:lpstr>
      <vt:lpstr>'工事費 (1)'!Cel工事_足場工_金額計</vt:lpstr>
      <vt:lpstr>'工事費 (1)'!Cel工事_足場工_数量_架設区間Ａ</vt:lpstr>
      <vt:lpstr>'工事費 (1)'!Cel工事_足場工_数量計</vt:lpstr>
      <vt:lpstr>'工事費 (1)'!Cel工事_足場工_単価</vt:lpstr>
      <vt:lpstr>'工事費 (1)'!Cel工事_落橋防止装置工_金額計</vt:lpstr>
      <vt:lpstr>'工事費 (1)'!Cel工事_落橋防止装置工_数量計</vt:lpstr>
      <vt:lpstr>'工事費 (1)'!Cel工事_落橋防止装置工_単価</vt:lpstr>
      <vt:lpstr>'工事費 (1)'!GenbaYousetuKensahi_Goukei</vt:lpstr>
    </vt:vector>
  </TitlesOfParts>
  <Company>横河ブリッジ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2020-10-20T07:22:39Z</cp:lastPrinted>
  <dcterms:created xsi:type="dcterms:W3CDTF">2020-10-20T07:17:17Z</dcterms:created>
  <dcterms:modified xsi:type="dcterms:W3CDTF">2020-10-20T07:22:46Z</dcterms:modified>
</cp:coreProperties>
</file>